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5480" windowHeight="5070" tabRatio="455" activeTab="0"/>
  </bookViews>
  <sheets>
    <sheet name="Меню" sheetId="1" r:id="rId1"/>
    <sheet name="Накопительная" sheetId="2" r:id="rId2"/>
    <sheet name="ккал" sheetId="3" r:id="rId3"/>
  </sheets>
  <definedNames>
    <definedName name="_xlnm._FilterDatabase" localSheetId="0" hidden="1">'Меню'!$A$1:$A$1741</definedName>
  </definedNames>
  <calcPr fullCalcOnLoad="1"/>
</workbook>
</file>

<file path=xl/sharedStrings.xml><?xml version="1.0" encoding="utf-8"?>
<sst xmlns="http://schemas.openxmlformats.org/spreadsheetml/2006/main" count="2498" uniqueCount="610">
  <si>
    <t>МЕНЮ</t>
  </si>
  <si>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</si>
  <si>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</si>
  <si>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</si>
  <si>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</si>
  <si>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</si>
  <si>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</si>
  <si>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</si>
  <si>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</si>
  <si>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</si>
  <si>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</si>
  <si>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</si>
  <si>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сахар</t>
  </si>
  <si>
    <t xml:space="preserve">масло сливочное </t>
  </si>
  <si>
    <t>Чай с лимоном</t>
  </si>
  <si>
    <t>200/5</t>
  </si>
  <si>
    <t>чай - заварка</t>
  </si>
  <si>
    <t>лимон</t>
  </si>
  <si>
    <t>Обед</t>
  </si>
  <si>
    <t>с 01.01 - 25%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</si>
  <si>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</si>
  <si>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</si>
  <si>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</si>
  <si>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</si>
  <si>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</si>
  <si>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</si>
  <si>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</si>
  <si>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масло сливочное</t>
  </si>
  <si>
    <t>мука пшеничная</t>
  </si>
  <si>
    <t>яйца</t>
  </si>
  <si>
    <t>Ужин</t>
  </si>
  <si>
    <t>крупа рисовая</t>
  </si>
  <si>
    <t>Меню</t>
  </si>
  <si>
    <t>2 день</t>
  </si>
  <si>
    <t>творог</t>
  </si>
  <si>
    <t>крупа манная</t>
  </si>
  <si>
    <t>хлеб пшеничный</t>
  </si>
  <si>
    <t>Чай с сахаром</t>
  </si>
  <si>
    <t>3 день</t>
  </si>
  <si>
    <t>Чай с молоком</t>
  </si>
  <si>
    <t>горошек зеленый консервированный</t>
  </si>
  <si>
    <t>4 день</t>
  </si>
  <si>
    <t>5 день</t>
  </si>
  <si>
    <t>курага</t>
  </si>
  <si>
    <t>6 день</t>
  </si>
  <si>
    <t>капуста белокочанная свежая</t>
  </si>
  <si>
    <t>Компот из свежих плодов</t>
  </si>
  <si>
    <t>7 день</t>
  </si>
  <si>
    <t>Картофельное пюре</t>
  </si>
  <si>
    <t>8 день</t>
  </si>
  <si>
    <t>сыр</t>
  </si>
  <si>
    <t>курица потрошеная 1 категории</t>
  </si>
  <si>
    <t>свекла - до 01.01 - 20%</t>
  </si>
  <si>
    <t>9 день</t>
  </si>
  <si>
    <t>Каша пшеничная с маслом</t>
  </si>
  <si>
    <t>крупа пшеничная</t>
  </si>
  <si>
    <t>кукуруза консервированная</t>
  </si>
  <si>
    <r>
      <t>Обед</t>
    </r>
  </si>
  <si>
    <t>Компот из сухофруктов</t>
  </si>
  <si>
    <t>Полдник</t>
  </si>
  <si>
    <t>говядина 1 категории</t>
  </si>
  <si>
    <t>крупа пшенная</t>
  </si>
  <si>
    <t>крупа "Геркулес"</t>
  </si>
  <si>
    <t>Масло растительное</t>
  </si>
  <si>
    <t>сухофрукты</t>
  </si>
  <si>
    <t>изюм</t>
  </si>
  <si>
    <t>10 день</t>
  </si>
  <si>
    <t>говядина полуфабрикат</t>
  </si>
  <si>
    <t>зелень (петрушка, укроп)</t>
  </si>
  <si>
    <t xml:space="preserve">Компот из кураги </t>
  </si>
  <si>
    <t>Хлеб ржаной</t>
  </si>
  <si>
    <t>или говядина 1 категории</t>
  </si>
  <si>
    <t>или говядина полуфабрикат</t>
  </si>
  <si>
    <t>№</t>
  </si>
  <si>
    <t>Продукты</t>
  </si>
  <si>
    <t>Ккал</t>
  </si>
  <si>
    <t>Дни</t>
  </si>
  <si>
    <t>белки</t>
  </si>
  <si>
    <t>жиры</t>
  </si>
  <si>
    <t>углеводы</t>
  </si>
  <si>
    <t xml:space="preserve">Хлеб пшеничный </t>
  </si>
  <si>
    <t xml:space="preserve">Мука </t>
  </si>
  <si>
    <t>Овощи, зелень</t>
  </si>
  <si>
    <t>Фрукты свежие</t>
  </si>
  <si>
    <t>Фрукты сухие</t>
  </si>
  <si>
    <t>Сахар</t>
  </si>
  <si>
    <t>Чай</t>
  </si>
  <si>
    <t>Рыба свежая</t>
  </si>
  <si>
    <t>Творог</t>
  </si>
  <si>
    <t>Сметана</t>
  </si>
  <si>
    <t>Масло сливочное</t>
  </si>
  <si>
    <t>Яйцо куриное</t>
  </si>
  <si>
    <t>Рис припущенный с овощами</t>
  </si>
  <si>
    <t>сметана</t>
  </si>
  <si>
    <t>ванилин</t>
  </si>
  <si>
    <t>11 день</t>
  </si>
  <si>
    <t>капуста цветная замороженная</t>
  </si>
  <si>
    <t>12 день</t>
  </si>
  <si>
    <t>13 день</t>
  </si>
  <si>
    <t>Отвар шиповника</t>
  </si>
  <si>
    <t>дрожжи прессованные</t>
  </si>
  <si>
    <t>14 день</t>
  </si>
  <si>
    <t>какао-порошок</t>
  </si>
  <si>
    <t>сахарная пудра</t>
  </si>
  <si>
    <t>шиповник</t>
  </si>
  <si>
    <t>макаронные изделия</t>
  </si>
  <si>
    <t>Пирог манный</t>
  </si>
  <si>
    <t>Каша "Геркулес" с маслом</t>
  </si>
  <si>
    <t>вода питьевая</t>
  </si>
  <si>
    <t>Омлет натуральный с маслом</t>
  </si>
  <si>
    <t>крупа гречневая</t>
  </si>
  <si>
    <t>Салат из белокочанной капусты с огурцом</t>
  </si>
  <si>
    <t>или лук зелёный</t>
  </si>
  <si>
    <t>или лук  репчатый</t>
  </si>
  <si>
    <t>Салат из свежих помидор и огурцов</t>
  </si>
  <si>
    <t>или минтай потрошенный обезглавленный (филе с кожей без костей)</t>
  </si>
  <si>
    <t>чеснок</t>
  </si>
  <si>
    <t>масло растительное для смазки листа</t>
  </si>
  <si>
    <t>тесто</t>
  </si>
  <si>
    <t>фарш</t>
  </si>
  <si>
    <t>помидоры свежие парниковые</t>
  </si>
  <si>
    <t>Факт  в день, г</t>
  </si>
  <si>
    <t>Химический состав, г</t>
  </si>
  <si>
    <t>Крупы, макаронные и бобовые изделия</t>
  </si>
  <si>
    <t>Соки, компоты консерв.</t>
  </si>
  <si>
    <t>Кофе, кофейный напиток</t>
  </si>
  <si>
    <t>Мясо</t>
  </si>
  <si>
    <t>Колбасные изделия</t>
  </si>
  <si>
    <t>Молоко, кисломолочные</t>
  </si>
  <si>
    <t>бульон или вода питьевая</t>
  </si>
  <si>
    <t>% выполнения</t>
  </si>
  <si>
    <t>Расстегай московский</t>
  </si>
  <si>
    <t>Сыр, сыр плавленый</t>
  </si>
  <si>
    <t>Пирожок с яблоками</t>
  </si>
  <si>
    <t xml:space="preserve">Картофель </t>
  </si>
  <si>
    <t>Соки</t>
  </si>
  <si>
    <t>Мясо, птица</t>
  </si>
  <si>
    <t>Картофель</t>
  </si>
  <si>
    <t xml:space="preserve">Салат из свежих огурцов с зеленым луком </t>
  </si>
  <si>
    <t>за 14 дней, г</t>
  </si>
  <si>
    <t xml:space="preserve">ИТОГО </t>
  </si>
  <si>
    <t>ИТОГО</t>
  </si>
  <si>
    <t>Сосиски, сардельки отварные с маслом</t>
  </si>
  <si>
    <t>сосиски или сардельки высшего сорта</t>
  </si>
  <si>
    <t>или  капуста цветная замороженная</t>
  </si>
  <si>
    <t>Картофель отварной с маслом и зеленью</t>
  </si>
  <si>
    <t>фасоль или горох лущеный</t>
  </si>
  <si>
    <t>хлеб пшеничный для гренок</t>
  </si>
  <si>
    <t>молоко питьевое</t>
  </si>
  <si>
    <t>соль йодированная</t>
  </si>
  <si>
    <t xml:space="preserve">2 завтрак </t>
  </si>
  <si>
    <t>Кофейный напиток</t>
  </si>
  <si>
    <t>горбуша потрошенная с головой (филе без кожи и костей)</t>
  </si>
  <si>
    <t>Винегрет  овощной</t>
  </si>
  <si>
    <t>Макаронные изделия отварные</t>
  </si>
  <si>
    <t xml:space="preserve">крупа рисовая </t>
  </si>
  <si>
    <t xml:space="preserve">сахар </t>
  </si>
  <si>
    <t>масса теста</t>
  </si>
  <si>
    <t>огурцы свежие парниковые</t>
  </si>
  <si>
    <t>или горбуша потрошенная с головой (филе без кожи и костей)</t>
  </si>
  <si>
    <t>или горбуша неразделанная (филе без кожи и костей)</t>
  </si>
  <si>
    <t>Компот из изюма</t>
  </si>
  <si>
    <t>сухари пшеничные</t>
  </si>
  <si>
    <t>лук репчатый (бланшированный)</t>
  </si>
  <si>
    <t>Бефстроганов</t>
  </si>
  <si>
    <t>соус сметанный</t>
  </si>
  <si>
    <t xml:space="preserve">перец свежий </t>
  </si>
  <si>
    <t>или лапша яичная промышленного производства</t>
  </si>
  <si>
    <t>масса фарша</t>
  </si>
  <si>
    <t xml:space="preserve">крупа манная </t>
  </si>
  <si>
    <t>или мука пшеничная</t>
  </si>
  <si>
    <t>яблоки свежие  (с удаленным семенным гнездом, очищенные от кожицы)</t>
  </si>
  <si>
    <t>Масса припущенных яблок</t>
  </si>
  <si>
    <t>масло сливочное для смазки листа</t>
  </si>
  <si>
    <t xml:space="preserve"> сухари пшеничные</t>
  </si>
  <si>
    <t>Бутерброд с маслом с сыром</t>
  </si>
  <si>
    <t>кофейный напиток</t>
  </si>
  <si>
    <t>Какао с молоком</t>
  </si>
  <si>
    <t xml:space="preserve">сыр </t>
  </si>
  <si>
    <t>горбуша потрошенная с головой (филе с кожей без костей)</t>
  </si>
  <si>
    <t>или горбуша неразделанная (филе с кожей без костей)</t>
  </si>
  <si>
    <t xml:space="preserve">или лосось неразделанный (филе с кожей без костей) </t>
  </si>
  <si>
    <t>Кисель из свежих ягод</t>
  </si>
  <si>
    <t>крахмал</t>
  </si>
  <si>
    <t>клюква, или брусника</t>
  </si>
  <si>
    <t>Компот "Здоровье"</t>
  </si>
  <si>
    <t>НОРМА</t>
  </si>
  <si>
    <t>Рыба "Лакомка" с маслом</t>
  </si>
  <si>
    <t>Фактически получено, г**</t>
  </si>
  <si>
    <t>** - количество потребленных продуктов округлено до целого числа</t>
  </si>
  <si>
    <t>или капуста свежая белокочанная</t>
  </si>
  <si>
    <t>смородина, или клюква, или брусника</t>
  </si>
  <si>
    <t>яблоки  свежие (с удаленным семенным гнездом)</t>
  </si>
  <si>
    <t xml:space="preserve">Каша "Янтарная" (из пшена с яблоками) с маслом </t>
  </si>
  <si>
    <t>лосось потрошенный с головой (филе без кожи и костей)</t>
  </si>
  <si>
    <t>фрикадельки</t>
  </si>
  <si>
    <t>молоко питьевое или вода питьевая</t>
  </si>
  <si>
    <t>Кондитерские изделия</t>
  </si>
  <si>
    <t>Мясо 1 категории</t>
  </si>
  <si>
    <t xml:space="preserve">Птица 1 категории </t>
  </si>
  <si>
    <t>крах</t>
  </si>
  <si>
    <t>Бризоль из курицы с маслом</t>
  </si>
  <si>
    <t>огурцы соленые</t>
  </si>
  <si>
    <t>или молоко витаминизированное в индивидуальной упаковке</t>
  </si>
  <si>
    <t>200/20</t>
  </si>
  <si>
    <t>дрожжи</t>
  </si>
  <si>
    <t>дрож</t>
  </si>
  <si>
    <t>масса готовой курицы</t>
  </si>
  <si>
    <t>масса готового филе</t>
  </si>
  <si>
    <t>яйца для смазки изделия</t>
  </si>
  <si>
    <t>огурцы свежие грунтовые</t>
  </si>
  <si>
    <t>или огурцы свежие парниковые</t>
  </si>
  <si>
    <t>лук зелёный</t>
  </si>
  <si>
    <t>или огурцы свежие грунтовые</t>
  </si>
  <si>
    <t>горошек зеленый консервированный (после термической обработки)</t>
  </si>
  <si>
    <t>или помидоры свежие грунтовые</t>
  </si>
  <si>
    <t>или перец болгарский</t>
  </si>
  <si>
    <t>масса отварной моркови</t>
  </si>
  <si>
    <t>или дрожжи сухие</t>
  </si>
  <si>
    <t>Овощной микс с маслом</t>
  </si>
  <si>
    <t>Второй ужин</t>
  </si>
  <si>
    <t xml:space="preserve">1 и 2 завтраки (суммарно) </t>
  </si>
  <si>
    <t>ккал</t>
  </si>
  <si>
    <t>35-40% от суточного рациона</t>
  </si>
  <si>
    <t>10-15% от суточного рациона</t>
  </si>
  <si>
    <t>20-30% от суточного рациона</t>
  </si>
  <si>
    <t xml:space="preserve">1 и 2 ужины (суммарно) </t>
  </si>
  <si>
    <t>Итого за день</t>
  </si>
  <si>
    <t>100% от суточного рациона</t>
  </si>
  <si>
    <t>Овощи на подгарнировку</t>
  </si>
  <si>
    <t>Огурец соленый</t>
  </si>
  <si>
    <t>или огурец свежий грунтовый</t>
  </si>
  <si>
    <t>или огурец свежий парниковый</t>
  </si>
  <si>
    <t>или фарш куриный промышленного производства</t>
  </si>
  <si>
    <t xml:space="preserve">Нарезка из свежих помидор с луком </t>
  </si>
  <si>
    <t>масса готового мяса</t>
  </si>
  <si>
    <t>250/10</t>
  </si>
  <si>
    <t>80/5</t>
  </si>
  <si>
    <t>30/20/5</t>
  </si>
  <si>
    <t>130/5</t>
  </si>
  <si>
    <t>100/5</t>
  </si>
  <si>
    <t>80/5/50</t>
  </si>
  <si>
    <t>350/40</t>
  </si>
  <si>
    <t>350/30</t>
  </si>
  <si>
    <t xml:space="preserve">или лосось неразделанный (филе без кожи без костей) </t>
  </si>
  <si>
    <t>Говядина, тушенная в сметанном соусе</t>
  </si>
  <si>
    <t>Кисломолочный напиток 2,5% жирности (йогурт, снежок, бифидок, биокефир, биоряженка и др.)</t>
  </si>
  <si>
    <t>Чай с медом</t>
  </si>
  <si>
    <t>80/30</t>
  </si>
  <si>
    <t>Бутерброд с сыром</t>
  </si>
  <si>
    <t>Омлет с сыром с маслом с подгарнировкой</t>
  </si>
  <si>
    <t>Салат Зеленый</t>
  </si>
  <si>
    <t>30/20</t>
  </si>
  <si>
    <t>ИЛИ</t>
  </si>
  <si>
    <t>Печень, тушённая в сметанном соусе</t>
  </si>
  <si>
    <t>печень говяжья</t>
  </si>
  <si>
    <t>Запеканка творожная с вареньем или джемом</t>
  </si>
  <si>
    <t>Молоко питьевое кипяченое (2,5% жирности)</t>
  </si>
  <si>
    <t>350/25</t>
  </si>
  <si>
    <t>Кондитерское изделие (кексы, рулеты с повидлом, бисквит без крема)</t>
  </si>
  <si>
    <t>Фрикадельки из говядины запеченные в соусе</t>
  </si>
  <si>
    <t>ИТОГО в среднем за 14 дней</t>
  </si>
  <si>
    <t>Говядина тушённая в сметанном соусе с овощами</t>
  </si>
  <si>
    <t>варенье или джем (без содержания искусственных красителей, консервантов и ароматизаторов)</t>
  </si>
  <si>
    <t>или помидоры свежие парниковые</t>
  </si>
  <si>
    <t>томатная паста (без содержания искусственных ароматизаторов,  красителей и консервантов)</t>
  </si>
  <si>
    <t>Картофель запеченный с  сыром  и маслом, с подгарнировкой</t>
  </si>
  <si>
    <t>Хлеб пшеничный или хлеб витаминизированный</t>
  </si>
  <si>
    <t>Яйцо отварное</t>
  </si>
  <si>
    <t xml:space="preserve">***- 1 шт. яйца - средняя масса 40 г </t>
  </si>
  <si>
    <t>консервы рыбные в собственном соку или с добавлением масла</t>
  </si>
  <si>
    <t>бульон мясной</t>
  </si>
  <si>
    <t>масса  отварного мяса</t>
  </si>
  <si>
    <t>соус молочный густой</t>
  </si>
  <si>
    <t>масло сливочное на смазку</t>
  </si>
  <si>
    <t>Суфле из говядины с маслом</t>
  </si>
  <si>
    <t>Салат "Пестрый"</t>
  </si>
  <si>
    <t>помидоры свежие грунтовые</t>
  </si>
  <si>
    <t>перец свежий болгарский</t>
  </si>
  <si>
    <t>петрушка  свежая</t>
  </si>
  <si>
    <t>укроп  свежий</t>
  </si>
  <si>
    <t>лимон (для сока)</t>
  </si>
  <si>
    <t>Каша кукурузная жидкая  с маслом</t>
  </si>
  <si>
    <t>крупа кукурузная</t>
  </si>
  <si>
    <t>или</t>
  </si>
  <si>
    <t>Каша "Дружба" с маслом</t>
  </si>
  <si>
    <t>250/5</t>
  </si>
  <si>
    <t>морская капуста консервированная без уксуса</t>
  </si>
  <si>
    <t>лук зеленый</t>
  </si>
  <si>
    <t xml:space="preserve">или </t>
  </si>
  <si>
    <t>Винегрет  с морской капустой</t>
  </si>
  <si>
    <t>или лук зеленый</t>
  </si>
  <si>
    <t>или капуста квашеная промышленного производства</t>
  </si>
  <si>
    <t>фасоль</t>
  </si>
  <si>
    <t>томатная паста (без содержания красителей и консервантов)</t>
  </si>
  <si>
    <t>350/10/5</t>
  </si>
  <si>
    <t xml:space="preserve">колбаса полукопченая </t>
  </si>
  <si>
    <t>Пирог "Зебра"</t>
  </si>
  <si>
    <t>Натрий двууглекислый</t>
  </si>
  <si>
    <t>Колбаски витаминные с маслом</t>
  </si>
  <si>
    <t>грудка куриная (мякоть с кожей)</t>
  </si>
  <si>
    <t>Говядина, тушеная с капустой</t>
  </si>
  <si>
    <t>№ рецептуры</t>
  </si>
  <si>
    <t>Витамин С, мг</t>
  </si>
  <si>
    <t>Норма в день, брутто, г*</t>
  </si>
  <si>
    <t>Хлеб ржаной (ржано-пшеничный)</t>
  </si>
  <si>
    <t>Мука пшеничная</t>
  </si>
  <si>
    <t>Крупы,  бобовые изделия</t>
  </si>
  <si>
    <t>Макаронные изделия</t>
  </si>
  <si>
    <t>Овощи свежие, зелень</t>
  </si>
  <si>
    <t>Рыба филе</t>
  </si>
  <si>
    <t>Молоко (массовая доля жира 2,5 %, 3,2 %)</t>
  </si>
  <si>
    <t>Кисломолочные продукты (массовая доля жира 2,5 %, 3,2 %)</t>
  </si>
  <si>
    <t>Творог (массовая доля жира не более 9 %)</t>
  </si>
  <si>
    <t>Сметана (массовая доля жира не более 15 %)</t>
  </si>
  <si>
    <t>Сыр</t>
  </si>
  <si>
    <t>Яйцо диетическое</t>
  </si>
  <si>
    <t xml:space="preserve">Какао </t>
  </si>
  <si>
    <t>Дрожжи хлебопекарные</t>
  </si>
  <si>
    <t xml:space="preserve">Соль </t>
  </si>
  <si>
    <t>макар</t>
  </si>
  <si>
    <t>кисло</t>
  </si>
  <si>
    <t>колбаса полукопченая</t>
  </si>
  <si>
    <t>Суп молочный с макаронными изделиями</t>
  </si>
  <si>
    <t>№160-2004</t>
  </si>
  <si>
    <t xml:space="preserve">Суп молочный с крупой </t>
  </si>
  <si>
    <t>№161-2004</t>
  </si>
  <si>
    <t xml:space="preserve">крупа хлопья овсяные "Геркулес",  </t>
  </si>
  <si>
    <t>или ячневая, или пшено или гречневая</t>
  </si>
  <si>
    <t xml:space="preserve">Гречка отварная вязкая </t>
  </si>
  <si>
    <t>Рис припущенный с кукурузой</t>
  </si>
  <si>
    <t>огурцы солёные (без  уксуса)</t>
  </si>
  <si>
    <t>Каша "Ароматная" с маслом</t>
  </si>
  <si>
    <t>крупа пшено</t>
  </si>
  <si>
    <t>ТТК</t>
  </si>
  <si>
    <t>Суп картофельный с рыбными консервами с зеленью</t>
  </si>
  <si>
    <t>перец свежий</t>
  </si>
  <si>
    <t>Фрукт (бананы, апельсины, мандарины, груши, яблоки, киви, персики, абрикосы, сливы, черешня и т.д.)</t>
  </si>
  <si>
    <t>яблоки свежие (с удаленным семенным гнездом)</t>
  </si>
  <si>
    <t>или груши свежие (с удаленным семенным гнездом)</t>
  </si>
  <si>
    <t>350/10/30</t>
  </si>
  <si>
    <t>№311-2004</t>
  </si>
  <si>
    <t>№340-2004</t>
  </si>
  <si>
    <t>№1,3-2004</t>
  </si>
  <si>
    <t>№685-2004</t>
  </si>
  <si>
    <t>Бутерброд с маслом</t>
  </si>
  <si>
    <t>масло сливочное или масло шоколадное</t>
  </si>
  <si>
    <t>№1-2004</t>
  </si>
  <si>
    <t>хлеб пшеничный или батон нарезной</t>
  </si>
  <si>
    <t>№20-2004</t>
  </si>
  <si>
    <t>№471-2004</t>
  </si>
  <si>
    <t>№639-2004</t>
  </si>
  <si>
    <t>№640-2004</t>
  </si>
  <si>
    <t>№692-2004</t>
  </si>
  <si>
    <t>№332-2004</t>
  </si>
  <si>
    <t>№413-2004</t>
  </si>
  <si>
    <t>№520-2004</t>
  </si>
  <si>
    <t>№693-2004</t>
  </si>
  <si>
    <t>№440-2004</t>
  </si>
  <si>
    <t>№342-2004</t>
  </si>
  <si>
    <t>№13-2004</t>
  </si>
  <si>
    <t>№124-2004</t>
  </si>
  <si>
    <t>№697-2004</t>
  </si>
  <si>
    <t>№71-2004</t>
  </si>
  <si>
    <t>№698-2004</t>
  </si>
  <si>
    <t>№203-2004</t>
  </si>
  <si>
    <t>№157-2004</t>
  </si>
  <si>
    <t>№3-2004</t>
  </si>
  <si>
    <t>№130-2004</t>
  </si>
  <si>
    <t>№631-2004</t>
  </si>
  <si>
    <t>№638-2004</t>
  </si>
  <si>
    <t>№135-2004</t>
  </si>
  <si>
    <t>№171-2004</t>
  </si>
  <si>
    <t>№371-2004</t>
  </si>
  <si>
    <t>№337-2004</t>
  </si>
  <si>
    <t>помидор свежий парниковый</t>
  </si>
  <si>
    <t>или помидор свежий грунтовый</t>
  </si>
  <si>
    <t>30/20/20</t>
  </si>
  <si>
    <t>Бутерброд с колбасой и помидором свежим</t>
  </si>
  <si>
    <t>№6-2004</t>
  </si>
  <si>
    <t>Бутерброд горячий</t>
  </si>
  <si>
    <t>помидор свежий грунтовый</t>
  </si>
  <si>
    <t>или помидор свежий парниковый</t>
  </si>
  <si>
    <t>сыр тертый</t>
  </si>
  <si>
    <t>капуста белокочанная свежая нового урожая</t>
  </si>
  <si>
    <t>№686-2004</t>
  </si>
  <si>
    <t xml:space="preserve">№266-2001, Пермь </t>
  </si>
  <si>
    <t>Цикорий с молоком</t>
  </si>
  <si>
    <t>Цикорий растворимый</t>
  </si>
  <si>
    <t>№689-2004</t>
  </si>
  <si>
    <t>или мучное изделие промышленного производства обогащенное витаминами и минералами</t>
  </si>
  <si>
    <t>Ватрушка "Царская" (творожное блюдо)</t>
  </si>
  <si>
    <t>крошка</t>
  </si>
  <si>
    <t>молоко сгущенное с сахаром</t>
  </si>
  <si>
    <t xml:space="preserve">Запеканка творожная с яблоками с молоком сгущенным </t>
  </si>
  <si>
    <t>Пудинг из творога с молоком сгущенным</t>
  </si>
  <si>
    <t>или кондитерское изделие промышленного производства с содержанием витаминов и минералов</t>
  </si>
  <si>
    <t xml:space="preserve">мед </t>
  </si>
  <si>
    <t>№19-2004</t>
  </si>
  <si>
    <t xml:space="preserve">350/35 </t>
  </si>
  <si>
    <t>или фарш промышленного производства</t>
  </si>
  <si>
    <t>сухари панировочные</t>
  </si>
  <si>
    <t>Салат "Аппетитный"</t>
  </si>
  <si>
    <t>зелень свежая (петрушка, укроп)</t>
  </si>
  <si>
    <t>№16-2004</t>
  </si>
  <si>
    <t xml:space="preserve">Салат из свежих огурцов  </t>
  </si>
  <si>
    <t>Гуляш из говядины</t>
  </si>
  <si>
    <t>томатная паста (без искусственных ароматизаторов, красителей и консервантов)</t>
  </si>
  <si>
    <t>№437-2004</t>
  </si>
  <si>
    <t>Курица  или кролик в соусе с томатом</t>
  </si>
  <si>
    <t>№190-2001, Пермь</t>
  </si>
  <si>
    <t>грудка куриная на кости (филе без кожи)</t>
  </si>
  <si>
    <t>или  филе куриное</t>
  </si>
  <si>
    <t>или филе кролика</t>
  </si>
  <si>
    <t>Салат овощной с яблоками и сладким перцем</t>
  </si>
  <si>
    <t>№23-2004</t>
  </si>
  <si>
    <t>яблоки свежие (очищенные с удаленным семенным гнездом)</t>
  </si>
  <si>
    <t xml:space="preserve">№ 14/1-2011г., г.Екатеринбург </t>
  </si>
  <si>
    <t xml:space="preserve">горошек зеленый консервированный </t>
  </si>
  <si>
    <t>курица потрошеная 1 категории (мякоть без кожи)</t>
  </si>
  <si>
    <t>или грудка куриная на кости (мякоть без кожи)</t>
  </si>
  <si>
    <t>№539-2004</t>
  </si>
  <si>
    <t>Рагу овощное</t>
  </si>
  <si>
    <t>№477-2004</t>
  </si>
  <si>
    <t>№492-2004</t>
  </si>
  <si>
    <t>или грудка куриная на кости</t>
  </si>
  <si>
    <t>или окорочок куриный</t>
  </si>
  <si>
    <t>№494-2004</t>
  </si>
  <si>
    <t>Помидоры  с зеленым горошком</t>
  </si>
  <si>
    <t>Огурцы свежие</t>
  </si>
  <si>
    <t>Жаркое по - русски</t>
  </si>
  <si>
    <t xml:space="preserve">Филе куриное тушенное с картофелем  </t>
  </si>
  <si>
    <t>Голубцы ленивые с соусом сметанным</t>
  </si>
  <si>
    <t>100/50</t>
  </si>
  <si>
    <t>Соус сметанный</t>
  </si>
  <si>
    <t>№160-2001, Пермь</t>
  </si>
  <si>
    <t>или помидоры парниковые</t>
  </si>
  <si>
    <t xml:space="preserve">Рыба припущенная  </t>
  </si>
  <si>
    <t>№423-2004</t>
  </si>
  <si>
    <t>Салат "Венгерский"</t>
  </si>
  <si>
    <t>морковь нового урожая- до 01.01 - 20%</t>
  </si>
  <si>
    <t>№444-2004</t>
  </si>
  <si>
    <t>Плов  по - узбекски</t>
  </si>
  <si>
    <t>Плов из птицы или кролика</t>
  </si>
  <si>
    <t>№382-2004</t>
  </si>
  <si>
    <t>№451-2004</t>
  </si>
  <si>
    <t>№139-2004</t>
  </si>
  <si>
    <t>№433-2004</t>
  </si>
  <si>
    <t>Тефтели</t>
  </si>
  <si>
    <t xml:space="preserve">лук репчатый </t>
  </si>
  <si>
    <t>масса припущенного лука</t>
  </si>
  <si>
    <t>№587-2004</t>
  </si>
  <si>
    <t>Соус томатный</t>
  </si>
  <si>
    <t>№461-2004</t>
  </si>
  <si>
    <t>150/50</t>
  </si>
  <si>
    <t>№377-2004</t>
  </si>
  <si>
    <t>Сложный гарнир (картофель отварной, огурец свежий)</t>
  </si>
  <si>
    <t>Салат "Полезный"</t>
  </si>
  <si>
    <t xml:space="preserve">Шницель из говядины  </t>
  </si>
  <si>
    <t>яйцо куриное (1яйцо вареное разрезанное пополам)</t>
  </si>
  <si>
    <t>Кондитерское изделие промышленного производства в индивидуальной упаковке (зефир или мармелад, в том числе обогащенный витаминно-минеральньм комплексом)</t>
  </si>
  <si>
    <t>№110-2004</t>
  </si>
  <si>
    <t>Солянка домашняя со сметаной с зеленью</t>
  </si>
  <si>
    <t>колбаса вареная  (высший сорт)</t>
  </si>
  <si>
    <t>№30/2-2011, Екатеринбург</t>
  </si>
  <si>
    <t>Уха рыбацкая с зеленью</t>
  </si>
  <si>
    <t>Суп из овощей  с мясными фрикадельками  с зеленью</t>
  </si>
  <si>
    <t>№131-2004</t>
  </si>
  <si>
    <t>№119-2004</t>
  </si>
  <si>
    <t>Суп - лапша домашняя с курицей с зеленью</t>
  </si>
  <si>
    <t>№261-2001, Пермь</t>
  </si>
  <si>
    <t>№362-2004</t>
  </si>
  <si>
    <t>Щи из свежей капусты с картофелем с мясом со сметаной с зеленью</t>
  </si>
  <si>
    <t>Суп картофельный с бобовыми с  мясом с гренками с зеленью</t>
  </si>
  <si>
    <t>№111-2004</t>
  </si>
  <si>
    <t>Мясо тушеное с картофелем и овощами</t>
  </si>
  <si>
    <t>Помидоры свежие парниковые</t>
  </si>
  <si>
    <t>или помидоры соленые</t>
  </si>
  <si>
    <t>Курица, запеченная  с маслом</t>
  </si>
  <si>
    <t xml:space="preserve">творог </t>
  </si>
  <si>
    <t>или филе минтая промышленного производства</t>
  </si>
  <si>
    <t xml:space="preserve">Норма по СанПиН  2.4.4.3155-14 </t>
  </si>
  <si>
    <t>510- 765</t>
  </si>
  <si>
    <t>892,5 -  1020</t>
  </si>
  <si>
    <t>255 - 382,5</t>
  </si>
  <si>
    <t>510 - 765</t>
  </si>
  <si>
    <t>№707-2004</t>
  </si>
  <si>
    <t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t>
  </si>
  <si>
    <t>20/10</t>
  </si>
  <si>
    <t>№93-2001, Пермь</t>
  </si>
  <si>
    <t>№97-2001. Пермь</t>
  </si>
  <si>
    <t>№302-2004</t>
  </si>
  <si>
    <t>350/10/20/20/5</t>
  </si>
  <si>
    <t>№94-1997</t>
  </si>
  <si>
    <t>Салат из перца   и огурца свежего с маслом</t>
  </si>
  <si>
    <t xml:space="preserve">Пирожок с курагой </t>
  </si>
  <si>
    <t>№12.9 - картотека блюд, 1997</t>
  </si>
  <si>
    <t>или овсяная или пшеничная</t>
  </si>
  <si>
    <t>крупа  перловая</t>
  </si>
  <si>
    <t xml:space="preserve">350/10 </t>
  </si>
  <si>
    <t>Суп с крупой с мясом с зеленью</t>
  </si>
  <si>
    <t>№150-2004</t>
  </si>
  <si>
    <t>№23-2001, Пермь</t>
  </si>
  <si>
    <t>№305-2004</t>
  </si>
  <si>
    <t>№698-1996</t>
  </si>
  <si>
    <t>№738-2004</t>
  </si>
  <si>
    <t>№89-2004</t>
  </si>
  <si>
    <t>№439-2004</t>
  </si>
  <si>
    <t>№366-2004</t>
  </si>
  <si>
    <t>№143-2004</t>
  </si>
  <si>
    <t>№148-2004</t>
  </si>
  <si>
    <t>№524-2004</t>
  </si>
  <si>
    <t>ИТОГО В СРЕДНЕМ ЗА  14 ДНЕЙ</t>
  </si>
  <si>
    <t xml:space="preserve">Примерное 14 - ти дневное меню для питания детей в загородных оздоровительных лагерях  № 917 от "16" мая  2014г.                                                                                       </t>
  </si>
  <si>
    <t>для питания детей  в возрасте с 11 лет и старше</t>
  </si>
  <si>
    <t>НАКОПИТЕЛЬНАЯ ВЕДОМОСТЬ к примерному 14 - ти дневному меню № 917 от "16" мая  2014г.         (в возрасте с 11 лет и старше)</t>
  </si>
  <si>
    <t>*  - СанПиН 2.4.4.3155-13 "Санитарно - эпидемиологические требования к устройству, содержанию и организации работы стационарных организаций отдыха  и оздоровления детей"</t>
  </si>
  <si>
    <t xml:space="preserve"> крупа манная</t>
  </si>
  <si>
    <t xml:space="preserve">Запеканка из творога с изюмом со сгущенным молоком </t>
  </si>
  <si>
    <t>(№11/5-2011, Екатеринбург)</t>
  </si>
  <si>
    <t xml:space="preserve">Омлет натуральный </t>
  </si>
  <si>
    <t>Творожный продукт для детского питания из натуральных компонентов промышленного производства в индивидуальной упаковке ("Агуша" или "Тема" и т.д.)</t>
  </si>
  <si>
    <t>Суточная потребность в пищевых веществах для детей с 11 лет и старше *</t>
  </si>
  <si>
    <t>* - Таблица №1 СанПиН 2.4.4.3155-13 "Санитарно - эпидемиологические требования к устройству, содержанию и организации работы стационарных организаций отдыха  и оздоровления детей"</t>
  </si>
  <si>
    <t>Сложный гарнир (картофельное пюре, огурец свежий)</t>
  </si>
  <si>
    <t>150/5</t>
  </si>
  <si>
    <t>Распределение энергетической ценности (калорийности) на отдельные приемы пищи для детей 11 - 17лет                              (по СанПиН п.10.5 2.4.4.3155-14)</t>
  </si>
  <si>
    <t xml:space="preserve">Котлеты из говядины по домашнему </t>
  </si>
  <si>
    <t>Биточки  из птицы  или кролика "Любительские"</t>
  </si>
  <si>
    <t>или фарш промышленного производства из мяса кролика</t>
  </si>
  <si>
    <t>Каша манная с изюмом с маслом</t>
  </si>
  <si>
    <t>Нарезка из перца  и огурца  свежих</t>
  </si>
  <si>
    <t>Нарезка из помидор и огурцов свежих</t>
  </si>
  <si>
    <t xml:space="preserve">Салат из свежих помидоров  </t>
  </si>
  <si>
    <t>Капуста тушеная со сметаной и томатом</t>
  </si>
  <si>
    <t>натрий двууглекислый</t>
  </si>
  <si>
    <t xml:space="preserve">Биточки из говядины </t>
  </si>
  <si>
    <t>Помидоры свежие или соленые</t>
  </si>
  <si>
    <t xml:space="preserve">Салат "Живая сила" </t>
  </si>
  <si>
    <t>№35-2001, Пермь</t>
  </si>
  <si>
    <t>кисл</t>
  </si>
  <si>
    <t>Колбасные изделия отварные с маслом</t>
  </si>
  <si>
    <t>колбаса вареная или сосиски или сардельки высшего сорта</t>
  </si>
  <si>
    <t>Кисломолочный напиток 2,5% жирности (йогурт, снежок)</t>
  </si>
  <si>
    <t xml:space="preserve">Салат из свежих помидоров </t>
  </si>
  <si>
    <t xml:space="preserve">курица потрашеная </t>
  </si>
  <si>
    <t>Бутерброд с  маслом сливочным</t>
  </si>
  <si>
    <t>крупа перловая</t>
  </si>
  <si>
    <t>Суп - пюре из картофеля с курой с гренками с зеленью</t>
  </si>
  <si>
    <t>чай заварка</t>
  </si>
  <si>
    <t>Борщ с капустой и картофелем , с курицей  со сметаной, с зеленью</t>
  </si>
  <si>
    <t>350/25/5</t>
  </si>
  <si>
    <t>Свекольник  с курицей со сметаной  с зеленью</t>
  </si>
  <si>
    <t>30/10</t>
  </si>
  <si>
    <t xml:space="preserve">Цикорий с молоком </t>
  </si>
  <si>
    <t xml:space="preserve">Цикорий растворимый </t>
  </si>
  <si>
    <t xml:space="preserve">капуста св </t>
  </si>
  <si>
    <t>30/20/10</t>
  </si>
  <si>
    <t>Рис припущенный с морковью</t>
  </si>
  <si>
    <t>Рассольник "Домашний" с курицей со сметаной с зеленью</t>
  </si>
  <si>
    <t xml:space="preserve">Шницель рыбный натуральный с маслом сливочным </t>
  </si>
  <si>
    <t>Фито-чай с сахаром</t>
  </si>
  <si>
    <t>Фито-чай для детей (с мятой или душицей или ромашкой или липой)</t>
  </si>
  <si>
    <t>Мучное изделие собственного производства</t>
  </si>
  <si>
    <t>Йогурт или кисломолочная продукция с добавлением лакто и бифидобактерий в упаковке</t>
  </si>
  <si>
    <t>курица потрошеная 1категории</t>
  </si>
  <si>
    <t>Борщ волынский с курицей со сметаной с зеленью</t>
  </si>
  <si>
    <t xml:space="preserve">курица потрошеная </t>
  </si>
  <si>
    <t>Борщ сибирский с курицей со сметаной с зеленью</t>
  </si>
  <si>
    <t xml:space="preserve">молоко питьевое или вода питьевая </t>
  </si>
  <si>
    <t xml:space="preserve"> помидоры свежие </t>
  </si>
  <si>
    <t xml:space="preserve">или огурцы свежие </t>
  </si>
  <si>
    <t>Какао с молоком с витамином" С"</t>
  </si>
  <si>
    <t xml:space="preserve">Рассольник  с мясом  со сметаной </t>
  </si>
  <si>
    <t>мясо говядина п/ф</t>
  </si>
  <si>
    <t>200/50</t>
  </si>
  <si>
    <t>Мучное изделие собственногопроизводства</t>
  </si>
  <si>
    <t>Нарезка из помидоров и огурцов свежих</t>
  </si>
  <si>
    <t xml:space="preserve">Салат Степной </t>
  </si>
  <si>
    <t xml:space="preserve">огурец  соленый </t>
  </si>
  <si>
    <t xml:space="preserve">молоко питьевое или вода витьевая </t>
  </si>
  <si>
    <t>90/5</t>
  </si>
  <si>
    <t xml:space="preserve">крупа рис </t>
  </si>
  <si>
    <t xml:space="preserve">Овощи припущенные с маслом </t>
  </si>
  <si>
    <t>огурец консервированный без уксуса</t>
  </si>
  <si>
    <t>в гот виде</t>
  </si>
  <si>
    <t xml:space="preserve">лук зелёный </t>
  </si>
  <si>
    <t xml:space="preserve">масло раст </t>
  </si>
  <si>
    <t>помидоры св парн</t>
  </si>
  <si>
    <t xml:space="preserve">Рыба"Лакомка" с маслом </t>
  </si>
  <si>
    <t>№9.8-картотека блюд, 2 ч.  1995</t>
  </si>
  <si>
    <t xml:space="preserve">Завтрак </t>
  </si>
  <si>
    <t>Рыба слабосоленая порциями</t>
  </si>
  <si>
    <t>Сельдь с/с филе</t>
  </si>
  <si>
    <t xml:space="preserve">или лук зеленый </t>
  </si>
  <si>
    <t>30/10/7/2</t>
  </si>
  <si>
    <t>курица потрошеная 1 категории(мякоть без кожи)</t>
  </si>
  <si>
    <t xml:space="preserve">хлеб пшеничный </t>
  </si>
  <si>
    <t>масло подсолнечное</t>
  </si>
  <si>
    <t xml:space="preserve">вода питьевая </t>
  </si>
  <si>
    <t xml:space="preserve">Котлета рубленная из птицы с маслом </t>
  </si>
  <si>
    <t>филе горбуши с/м</t>
  </si>
  <si>
    <t xml:space="preserve"> или помидоры св.грунтовые </t>
  </si>
  <si>
    <t xml:space="preserve">масса готового риса </t>
  </si>
  <si>
    <t>350/15/5</t>
  </si>
  <si>
    <t>суп картофельный с бобовыми</t>
  </si>
  <si>
    <t>350/10/20</t>
  </si>
  <si>
    <t>фасоль к/с</t>
  </si>
  <si>
    <t xml:space="preserve">Суп - лапша домашняя с курицей </t>
  </si>
  <si>
    <t>350/15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</si>
</sst>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#,##0&quot;р.&quot;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(* #,##0.00_);_(* \(#,##0.00\);_(* &quot;-&quot;??_);_(@_)"/>
    <numFmt numFmtId="181" formatCode="#,##0.00&quot;р.&quot;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&quot;р.&quot;_-;\-* #,##0.0&quot;р.&quot;_-;_-* &quot;-&quot;??&quot;р.&quot;_-;_-@_-"/>
    <numFmt numFmtId="187" formatCode="_-* #,##0.000&quot;р.&quot;_-;\-* #,##0.000&quot;р.&quot;_-;_-* &quot;-&quot;??&quot;р.&quot;_-;_-@_-"/>
    <numFmt numFmtId="188" formatCode="_-* #,##0.0000&quot;р.&quot;_-;\-* #,##0.0000&quot;р.&quot;_-;_-* &quot;-&quot;??&quot;р.&quot;_-;_-@_-"/>
    <numFmt numFmtId="189" formatCode="_-* #,##0.00000&quot;р.&quot;_-;\-* #,##0.00000&quot;р.&quot;_-;_-* &quot;-&quot;??&quot;р.&quot;_-;_-@_-"/>
    <numFmt numFmtId="190" formatCode="_-* #,##0.000000&quot;р.&quot;_-;\-* #,##0.000000&quot;р.&quot;_-;_-* &quot;-&quot;??&quot;р.&quot;_-;_-@_-"/>
    <numFmt numFmtId="191" formatCode="_-* #,##0.0000000&quot;р.&quot;_-;\-* #,##0.0000000&quot;р.&quot;_-;_-* &quot;-&quot;??&quot;р.&quot;_-;_-@_-"/>
    <numFmt numFmtId="192" formatCode="_-* #,##0.00000000&quot;р.&quot;_-;\-* #,##0.00000000&quot;р.&quot;_-;_-* &quot;-&quot;??&quot;р.&quot;_-;_-@_-"/>
    <numFmt numFmtId="193" formatCode="_-* #,##0.000000000&quot;р.&quot;_-;\-* #,##0.000000000&quot;р.&quot;_-;_-* &quot;-&quot;??&quot;р.&quot;_-;_-@_-"/>
    <numFmt numFmtId="194" formatCode="_-* #,##0.00000000_р_._-;\-* #,##0.00000000_р_._-;_-* &quot;-&quot;??_р_._-;_-@_-"/>
    <numFmt numFmtId="195" formatCode="_-* #,##0&quot;р.&quot;_-;\-* #,##0&quot;р.&quot;_-;_-* &quot;-&quot;??&quot;р.&quot;_-;_-@_-"/>
  </numFmts>
  <fonts count="52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Black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 Black"/>
      <family val="2"/>
    </font>
    <font>
      <sz val="12"/>
      <name val="Arial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2"/>
      <name val="Arial Black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12"/>
      <color indexed="10"/>
      <name val="Arial Cyr"/>
      <family val="0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b/>
      <u val="single"/>
      <sz val="12"/>
      <name val="Arial Cyr"/>
      <family val="0"/>
    </font>
    <font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2" fontId="2" fillId="0" borderId="0" xfId="61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" fontId="3" fillId="25" borderId="0" xfId="0" applyNumberFormat="1" applyFont="1" applyFill="1" applyBorder="1" applyAlignment="1">
      <alignment horizontal="center"/>
    </xf>
    <xf numFmtId="0" fontId="19" fillId="25" borderId="0" xfId="0" applyFont="1" applyFill="1" applyAlignment="1">
      <alignment/>
    </xf>
    <xf numFmtId="1" fontId="3" fillId="25" borderId="0" xfId="0" applyNumberFormat="1" applyFont="1" applyFill="1" applyAlignment="1">
      <alignment horizontal="right"/>
    </xf>
    <xf numFmtId="1" fontId="2" fillId="25" borderId="0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1" fontId="2" fillId="25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5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25" borderId="10" xfId="0" applyFont="1" applyFill="1" applyBorder="1" applyAlignment="1">
      <alignment horizontal="center" vertical="center"/>
    </xf>
    <xf numFmtId="0" fontId="3" fillId="25" borderId="0" xfId="0" applyNumberFormat="1" applyFont="1" applyFill="1" applyAlignment="1">
      <alignment horizontal="right"/>
    </xf>
    <xf numFmtId="0" fontId="0" fillId="25" borderId="0" xfId="0" applyFont="1" applyFill="1" applyAlignment="1">
      <alignment/>
    </xf>
    <xf numFmtId="1" fontId="0" fillId="25" borderId="0" xfId="0" applyNumberFormat="1" applyFont="1" applyFill="1" applyAlignment="1">
      <alignment/>
    </xf>
    <xf numFmtId="0" fontId="3" fillId="25" borderId="0" xfId="0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19" fillId="25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" fontId="0" fillId="25" borderId="10" xfId="0" applyNumberFormat="1" applyFont="1" applyFill="1" applyBorder="1" applyAlignment="1">
      <alignment horizontal="center" vertical="center"/>
    </xf>
    <xf numFmtId="164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1" fontId="22" fillId="25" borderId="17" xfId="0" applyNumberFormat="1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vertical="center"/>
    </xf>
    <xf numFmtId="1" fontId="3" fillId="25" borderId="0" xfId="0" applyNumberFormat="1" applyFont="1" applyFill="1" applyBorder="1" applyAlignment="1">
      <alignment horizontal="right"/>
    </xf>
    <xf numFmtId="0" fontId="22" fillId="25" borderId="0" xfId="0" applyFont="1" applyFill="1" applyAlignment="1">
      <alignment/>
    </xf>
    <xf numFmtId="1" fontId="22" fillId="25" borderId="18" xfId="0" applyNumberFormat="1" applyFont="1" applyFill="1" applyBorder="1" applyAlignment="1">
      <alignment horizontal="center" vertical="center"/>
    </xf>
    <xf numFmtId="164" fontId="1" fillId="25" borderId="20" xfId="0" applyNumberFormat="1" applyFont="1" applyFill="1" applyBorder="1" applyAlignment="1">
      <alignment horizontal="center" vertical="center"/>
    </xf>
    <xf numFmtId="164" fontId="1" fillId="25" borderId="21" xfId="0" applyNumberFormat="1" applyFont="1" applyFill="1" applyBorder="1" applyAlignment="1">
      <alignment horizontal="center" vertical="center"/>
    </xf>
    <xf numFmtId="164" fontId="1" fillId="25" borderId="22" xfId="0" applyNumberFormat="1" applyFont="1" applyFill="1" applyBorder="1" applyAlignment="1">
      <alignment horizontal="center" vertical="center"/>
    </xf>
    <xf numFmtId="164" fontId="1" fillId="25" borderId="14" xfId="0" applyNumberFormat="1" applyFont="1" applyFill="1" applyBorder="1" applyAlignment="1">
      <alignment horizontal="center" vertical="center"/>
    </xf>
    <xf numFmtId="164" fontId="1" fillId="25" borderId="15" xfId="0" applyNumberFormat="1" applyFont="1" applyFill="1" applyBorder="1" applyAlignment="1">
      <alignment horizontal="center" vertical="center"/>
    </xf>
    <xf numFmtId="164" fontId="1" fillId="25" borderId="16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right" vertical="center" wrapText="1"/>
    </xf>
    <xf numFmtId="0" fontId="18" fillId="24" borderId="11" xfId="0" applyFont="1" applyFill="1" applyBorder="1" applyAlignment="1">
      <alignment vertical="center"/>
    </xf>
    <xf numFmtId="0" fontId="19" fillId="24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" fontId="1" fillId="25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vertical="center"/>
    </xf>
    <xf numFmtId="1" fontId="3" fillId="25" borderId="0" xfId="0" applyNumberFormat="1" applyFont="1" applyFill="1" applyBorder="1" applyAlignment="1">
      <alignment/>
    </xf>
    <xf numFmtId="0" fontId="12" fillId="25" borderId="0" xfId="0" applyFont="1" applyFill="1" applyAlignment="1">
      <alignment/>
    </xf>
    <xf numFmtId="1" fontId="0" fillId="25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1" fontId="22" fillId="25" borderId="10" xfId="0" applyNumberFormat="1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1" fontId="22" fillId="25" borderId="24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right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" fontId="1" fillId="25" borderId="27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164" fontId="1" fillId="0" borderId="28" xfId="0" applyNumberFormat="1" applyFont="1" applyBorder="1" applyAlignment="1">
      <alignment horizontal="center" vertical="center"/>
    </xf>
    <xf numFmtId="1" fontId="22" fillId="25" borderId="29" xfId="0" applyNumberFormat="1" applyFont="1" applyFill="1" applyBorder="1" applyAlignment="1">
      <alignment horizontal="center" vertical="center"/>
    </xf>
    <xf numFmtId="1" fontId="22" fillId="25" borderId="11" xfId="0" applyNumberFormat="1" applyFont="1" applyFill="1" applyBorder="1" applyAlignment="1">
      <alignment horizontal="center" vertical="center"/>
    </xf>
    <xf numFmtId="1" fontId="22" fillId="25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22" fillId="25" borderId="30" xfId="0" applyNumberFormat="1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2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" fontId="16" fillId="25" borderId="30" xfId="0" applyNumberFormat="1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right" vertical="center"/>
    </xf>
    <xf numFmtId="164" fontId="1" fillId="25" borderId="10" xfId="0" applyNumberFormat="1" applyFont="1" applyFill="1" applyBorder="1" applyAlignment="1">
      <alignment horizontal="center" vertical="center"/>
    </xf>
    <xf numFmtId="1" fontId="1" fillId="25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/>
    </xf>
    <xf numFmtId="0" fontId="18" fillId="25" borderId="23" xfId="0" applyFont="1" applyFill="1" applyBorder="1" applyAlignment="1">
      <alignment horizontal="center" vertical="center"/>
    </xf>
    <xf numFmtId="1" fontId="18" fillId="25" borderId="10" xfId="0" applyNumberFormat="1" applyFont="1" applyFill="1" applyBorder="1" applyAlignment="1">
      <alignment horizontal="center" vertical="center"/>
    </xf>
    <xf numFmtId="1" fontId="16" fillId="25" borderId="10" xfId="0" applyNumberFormat="1" applyFont="1" applyFill="1" applyBorder="1" applyAlignment="1">
      <alignment horizontal="center" vertical="center"/>
    </xf>
    <xf numFmtId="2" fontId="18" fillId="25" borderId="33" xfId="0" applyNumberFormat="1" applyFont="1" applyFill="1" applyBorder="1" applyAlignment="1">
      <alignment horizontal="center" vertical="center"/>
    </xf>
    <xf numFmtId="2" fontId="18" fillId="25" borderId="10" xfId="0" applyNumberFormat="1" applyFont="1" applyFill="1" applyBorder="1" applyAlignment="1">
      <alignment horizontal="center" vertical="center"/>
    </xf>
    <xf numFmtId="2" fontId="18" fillId="25" borderId="30" xfId="0" applyNumberFormat="1" applyFont="1" applyFill="1" applyBorder="1" applyAlignment="1">
      <alignment horizontal="center" vertical="center"/>
    </xf>
    <xf numFmtId="1" fontId="16" fillId="25" borderId="11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vertical="center"/>
    </xf>
    <xf numFmtId="0" fontId="16" fillId="25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1" fontId="42" fillId="25" borderId="0" xfId="0" applyNumberFormat="1" applyFont="1" applyFill="1" applyBorder="1" applyAlignment="1">
      <alignment horizontal="center"/>
    </xf>
    <xf numFmtId="1" fontId="41" fillId="25" borderId="0" xfId="0" applyNumberFormat="1" applyFont="1" applyFill="1" applyBorder="1" applyAlignment="1">
      <alignment horizontal="center"/>
    </xf>
    <xf numFmtId="2" fontId="18" fillId="25" borderId="34" xfId="0" applyNumberFormat="1" applyFont="1" applyFill="1" applyBorder="1" applyAlignment="1">
      <alignment horizontal="center" vertical="center"/>
    </xf>
    <xf numFmtId="2" fontId="18" fillId="25" borderId="35" xfId="0" applyNumberFormat="1" applyFont="1" applyFill="1" applyBorder="1" applyAlignment="1">
      <alignment horizontal="center" vertical="center"/>
    </xf>
    <xf numFmtId="2" fontId="18" fillId="25" borderId="36" xfId="0" applyNumberFormat="1" applyFont="1" applyFill="1" applyBorder="1" applyAlignment="1">
      <alignment horizontal="center" vertical="center"/>
    </xf>
    <xf numFmtId="1" fontId="16" fillId="25" borderId="37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1" fontId="1" fillId="8" borderId="10" xfId="0" applyNumberFormat="1" applyFont="1" applyFill="1" applyBorder="1" applyAlignment="1">
      <alignment horizontal="center" vertical="center" wrapText="1"/>
    </xf>
    <xf numFmtId="164" fontId="1" fillId="8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3" fontId="1" fillId="25" borderId="10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vertical="center"/>
    </xf>
    <xf numFmtId="0" fontId="1" fillId="25" borderId="0" xfId="0" applyFont="1" applyFill="1" applyBorder="1" applyAlignment="1">
      <alignment vertical="center" wrapText="1"/>
    </xf>
    <xf numFmtId="0" fontId="0" fillId="25" borderId="0" xfId="0" applyFill="1" applyAlignment="1">
      <alignment vertical="center"/>
    </xf>
    <xf numFmtId="0" fontId="16" fillId="25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vertical="center" wrapText="1"/>
    </xf>
    <xf numFmtId="0" fontId="16" fillId="25" borderId="10" xfId="0" applyFont="1" applyFill="1" applyBorder="1" applyAlignment="1">
      <alignment horizontal="center" vertical="center" wrapText="1"/>
    </xf>
    <xf numFmtId="164" fontId="18" fillId="25" borderId="10" xfId="0" applyNumberFormat="1" applyFont="1" applyFill="1" applyBorder="1" applyAlignment="1">
      <alignment horizontal="center" vertical="center"/>
    </xf>
    <xf numFmtId="164" fontId="18" fillId="25" borderId="10" xfId="0" applyNumberFormat="1" applyFont="1" applyFill="1" applyBorder="1" applyAlignment="1">
      <alignment horizontal="center" vertical="center"/>
    </xf>
    <xf numFmtId="164" fontId="16" fillId="25" borderId="10" xfId="0" applyNumberFormat="1" applyFont="1" applyFill="1" applyBorder="1" applyAlignment="1">
      <alignment horizontal="center" vertical="center"/>
    </xf>
    <xf numFmtId="2" fontId="18" fillId="25" borderId="38" xfId="0" applyNumberFormat="1" applyFont="1" applyFill="1" applyBorder="1" applyAlignment="1">
      <alignment horizontal="center" vertical="center"/>
    </xf>
    <xf numFmtId="2" fontId="18" fillId="25" borderId="39" xfId="0" applyNumberFormat="1" applyFont="1" applyFill="1" applyBorder="1" applyAlignment="1">
      <alignment horizontal="center" vertical="center"/>
    </xf>
    <xf numFmtId="2" fontId="18" fillId="25" borderId="40" xfId="0" applyNumberFormat="1" applyFont="1" applyFill="1" applyBorder="1" applyAlignment="1">
      <alignment horizontal="center" vertical="center"/>
    </xf>
    <xf numFmtId="1" fontId="16" fillId="25" borderId="41" xfId="0" applyNumberFormat="1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vertical="center"/>
    </xf>
    <xf numFmtId="0" fontId="16" fillId="25" borderId="24" xfId="0" applyFont="1" applyFill="1" applyBorder="1" applyAlignment="1">
      <alignment horizontal="center" vertical="center"/>
    </xf>
    <xf numFmtId="1" fontId="18" fillId="25" borderId="24" xfId="0" applyNumberFormat="1" applyFont="1" applyFill="1" applyBorder="1" applyAlignment="1">
      <alignment horizontal="center" vertical="center"/>
    </xf>
    <xf numFmtId="1" fontId="16" fillId="25" borderId="24" xfId="0" applyNumberFormat="1" applyFont="1" applyFill="1" applyBorder="1" applyAlignment="1">
      <alignment horizontal="center" vertical="center"/>
    </xf>
    <xf numFmtId="1" fontId="16" fillId="25" borderId="42" xfId="0" applyNumberFormat="1" applyFont="1" applyFill="1" applyBorder="1" applyAlignment="1">
      <alignment horizontal="center" vertical="center"/>
    </xf>
    <xf numFmtId="0" fontId="8" fillId="25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/>
    </xf>
    <xf numFmtId="2" fontId="22" fillId="25" borderId="10" xfId="0" applyNumberFormat="1" applyFont="1" applyFill="1" applyBorder="1" applyAlignment="1">
      <alignment/>
    </xf>
    <xf numFmtId="2" fontId="1" fillId="8" borderId="10" xfId="0" applyNumberFormat="1" applyFont="1" applyFill="1" applyBorder="1" applyAlignment="1">
      <alignment horizontal="center" vertical="center"/>
    </xf>
    <xf numFmtId="164" fontId="1" fillId="8" borderId="10" xfId="0" applyNumberFormat="1" applyFont="1" applyFill="1" applyBorder="1" applyAlignment="1">
      <alignment horizontal="center" vertical="center" wrapText="1"/>
    </xf>
    <xf numFmtId="164" fontId="1" fillId="25" borderId="4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9" fillId="0" borderId="41" xfId="0" applyFont="1" applyFill="1" applyBorder="1" applyAlignment="1">
      <alignment vertical="center"/>
    </xf>
    <xf numFmtId="0" fontId="1" fillId="8" borderId="1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right" vertical="center"/>
    </xf>
    <xf numFmtId="1" fontId="5" fillId="25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25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right" vertical="center"/>
    </xf>
    <xf numFmtId="0" fontId="22" fillId="25" borderId="10" xfId="0" applyFont="1" applyFill="1" applyBorder="1" applyAlignment="1">
      <alignment horizontal="center" vertical="center"/>
    </xf>
    <xf numFmtId="164" fontId="22" fillId="25" borderId="10" xfId="0" applyNumberFormat="1" applyFont="1" applyFill="1" applyBorder="1" applyAlignment="1">
      <alignment horizontal="center" vertical="center"/>
    </xf>
    <xf numFmtId="2" fontId="22" fillId="25" borderId="10" xfId="0" applyNumberFormat="1" applyFont="1" applyFill="1" applyBorder="1" applyAlignment="1">
      <alignment horizontal="center" vertical="center"/>
    </xf>
    <xf numFmtId="164" fontId="45" fillId="25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64" fontId="6" fillId="25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right" vertical="center"/>
    </xf>
    <xf numFmtId="0" fontId="12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164" fontId="12" fillId="25" borderId="10" xfId="0" applyNumberFormat="1" applyFont="1" applyFill="1" applyBorder="1" applyAlignment="1">
      <alignment horizontal="center" vertical="center"/>
    </xf>
    <xf numFmtId="2" fontId="12" fillId="25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 horizontal="right" vertical="center"/>
    </xf>
    <xf numFmtId="1" fontId="22" fillId="24" borderId="10" xfId="0" applyNumberFormat="1" applyFont="1" applyFill="1" applyBorder="1" applyAlignment="1">
      <alignment horizontal="center" vertical="center"/>
    </xf>
    <xf numFmtId="1" fontId="1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right" vertical="center" wrapText="1"/>
    </xf>
    <xf numFmtId="0" fontId="22" fillId="25" borderId="10" xfId="0" applyFont="1" applyFill="1" applyBorder="1" applyAlignment="1">
      <alignment horizontal="right" vertical="center" wrapText="1"/>
    </xf>
    <xf numFmtId="1" fontId="12" fillId="25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25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1" fontId="2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/>
    </xf>
    <xf numFmtId="1" fontId="1" fillId="25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 vertical="center" wrapText="1"/>
    </xf>
    <xf numFmtId="1" fontId="1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right" vertical="center" wrapText="1"/>
    </xf>
    <xf numFmtId="0" fontId="12" fillId="25" borderId="10" xfId="0" applyFont="1" applyFill="1" applyBorder="1" applyAlignment="1">
      <alignment horizontal="right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/>
    </xf>
    <xf numFmtId="1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2" fontId="47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" fontId="45" fillId="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right" vertical="center"/>
    </xf>
    <xf numFmtId="164" fontId="1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1" fontId="49" fillId="0" borderId="10" xfId="0" applyNumberFormat="1" applyFont="1" applyFill="1" applyBorder="1" applyAlignment="1">
      <alignment horizontal="center" vertical="center"/>
    </xf>
    <xf numFmtId="164" fontId="6" fillId="25" borderId="10" xfId="0" applyNumberFormat="1" applyFont="1" applyFill="1" applyBorder="1" applyAlignment="1">
      <alignment horizontal="center" vertical="center"/>
    </xf>
    <xf numFmtId="1" fontId="1" fillId="25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1" fontId="12" fillId="25" borderId="10" xfId="0" applyNumberFormat="1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>
      <alignment horizontal="center" vertical="center"/>
    </xf>
    <xf numFmtId="1" fontId="47" fillId="25" borderId="10" xfId="0" applyNumberFormat="1" applyFont="1" applyFill="1" applyBorder="1" applyAlignment="1">
      <alignment horizontal="center" vertical="center"/>
    </xf>
    <xf numFmtId="164" fontId="47" fillId="25" borderId="10" xfId="0" applyNumberFormat="1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/>
    </xf>
    <xf numFmtId="1" fontId="22" fillId="25" borderId="10" xfId="0" applyNumberFormat="1" applyFont="1" applyFill="1" applyBorder="1" applyAlignment="1">
      <alignment horizontal="center" vertical="center"/>
    </xf>
    <xf numFmtId="1" fontId="22" fillId="2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164" fontId="22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/>
    </xf>
    <xf numFmtId="2" fontId="22" fillId="0" borderId="10" xfId="0" applyNumberFormat="1" applyFont="1" applyFill="1" applyBorder="1" applyAlignment="1">
      <alignment horizontal="left" vertical="center"/>
    </xf>
    <xf numFmtId="164" fontId="1" fillId="25" borderId="10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6" fillId="25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164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25" borderId="10" xfId="0" applyFont="1" applyFill="1" applyBorder="1" applyAlignment="1">
      <alignment/>
    </xf>
    <xf numFmtId="0" fontId="12" fillId="25" borderId="10" xfId="0" applyFont="1" applyFill="1" applyBorder="1" applyAlignment="1">
      <alignment horizontal="right" vertical="center"/>
    </xf>
    <xf numFmtId="0" fontId="45" fillId="25" borderId="10" xfId="0" applyFont="1" applyFill="1" applyBorder="1" applyAlignment="1">
      <alignment horizontal="center" vertical="center"/>
    </xf>
    <xf numFmtId="1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 vertical="center"/>
    </xf>
    <xf numFmtId="0" fontId="22" fillId="25" borderId="10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164" fontId="22" fillId="25" borderId="10" xfId="0" applyNumberFormat="1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right" vertical="center"/>
    </xf>
    <xf numFmtId="2" fontId="1" fillId="2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164" fontId="22" fillId="25" borderId="10" xfId="0" applyNumberFormat="1" applyFont="1" applyFill="1" applyBorder="1" applyAlignment="1">
      <alignment horizontal="right" vertical="center" wrapText="1"/>
    </xf>
    <xf numFmtId="164" fontId="22" fillId="25" borderId="10" xfId="0" applyNumberFormat="1" applyFont="1" applyFill="1" applyBorder="1" applyAlignment="1">
      <alignment horizontal="right" vertical="center"/>
    </xf>
    <xf numFmtId="2" fontId="45" fillId="25" borderId="10" xfId="0" applyNumberFormat="1" applyFont="1" applyFill="1" applyBorder="1" applyAlignment="1">
      <alignment horizontal="center" vertical="center"/>
    </xf>
    <xf numFmtId="0" fontId="12" fillId="25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right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 applyProtection="1">
      <alignment horizontal="center" vertical="center"/>
      <protection/>
    </xf>
    <xf numFmtId="0" fontId="51" fillId="25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48" fillId="25" borderId="10" xfId="0" applyNumberFormat="1" applyFont="1" applyFill="1" applyBorder="1" applyAlignment="1">
      <alignment horizontal="center" vertical="center"/>
    </xf>
    <xf numFmtId="164" fontId="48" fillId="25" borderId="10" xfId="0" applyNumberFormat="1" applyFont="1" applyFill="1" applyBorder="1" applyAlignment="1">
      <alignment horizontal="center" vertical="center"/>
    </xf>
    <xf numFmtId="2" fontId="48" fillId="25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2" fillId="0" borderId="47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1" fontId="22" fillId="0" borderId="47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/>
    </xf>
    <xf numFmtId="0" fontId="12" fillId="24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25" borderId="44" xfId="0" applyFont="1" applyFill="1" applyBorder="1" applyAlignment="1">
      <alignment horizontal="left" vertical="center"/>
    </xf>
    <xf numFmtId="0" fontId="1" fillId="25" borderId="45" xfId="0" applyFont="1" applyFill="1" applyBorder="1" applyAlignment="1">
      <alignment horizontal="left" vertical="center"/>
    </xf>
    <xf numFmtId="0" fontId="1" fillId="25" borderId="33" xfId="0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2" fillId="0" borderId="46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2" fillId="25" borderId="48" xfId="0" applyFont="1" applyFill="1" applyBorder="1" applyAlignment="1">
      <alignment horizontal="center" vertical="center"/>
    </xf>
    <xf numFmtId="0" fontId="20" fillId="25" borderId="49" xfId="0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50" xfId="0" applyFont="1" applyFill="1" applyBorder="1" applyAlignment="1">
      <alignment horizontal="center" vertical="center" wrapText="1"/>
    </xf>
    <xf numFmtId="0" fontId="20" fillId="25" borderId="46" xfId="0" applyFont="1" applyFill="1" applyBorder="1" applyAlignment="1">
      <alignment horizontal="center" vertical="center" wrapText="1"/>
    </xf>
    <xf numFmtId="0" fontId="16" fillId="25" borderId="49" xfId="0" applyFont="1" applyFill="1" applyBorder="1" applyAlignment="1">
      <alignment horizontal="center" vertical="center" wrapText="1"/>
    </xf>
    <xf numFmtId="0" fontId="16" fillId="25" borderId="21" xfId="0" applyFont="1" applyFill="1" applyBorder="1" applyAlignment="1">
      <alignment horizontal="center" vertical="center" wrapText="1"/>
    </xf>
    <xf numFmtId="0" fontId="16" fillId="25" borderId="26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6" fillId="25" borderId="51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left" vertical="center"/>
    </xf>
    <xf numFmtId="0" fontId="16" fillId="25" borderId="1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left" vertical="center" wrapText="1"/>
    </xf>
    <xf numFmtId="0" fontId="16" fillId="25" borderId="52" xfId="0" applyFont="1" applyFill="1" applyBorder="1" applyAlignment="1">
      <alignment horizontal="center" vertical="center"/>
    </xf>
    <xf numFmtId="0" fontId="16" fillId="25" borderId="23" xfId="0" applyFont="1" applyFill="1" applyBorder="1" applyAlignment="1">
      <alignment horizontal="center" vertical="center"/>
    </xf>
    <xf numFmtId="0" fontId="16" fillId="25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9" fontId="16" fillId="25" borderId="10" xfId="0" applyNumberFormat="1" applyFont="1" applyFill="1" applyBorder="1" applyAlignment="1">
      <alignment horizontal="center" vertical="center" wrapText="1"/>
    </xf>
    <xf numFmtId="0" fontId="1" fillId="25" borderId="52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 vertical="center"/>
    </xf>
    <xf numFmtId="9" fontId="16" fillId="25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748"/>
  <sheetViews>
    <sheetView tabSelected="1" view="pageBreakPreview" zoomScale="80" zoomScaleNormal="90" zoomScaleSheetLayoutView="80" zoomScalePageLayoutView="90" workbookViewId="0" topLeftCell="A1472">
      <selection activeCell="A1476" sqref="A1476:D1485"/>
    </sheetView>
  </sheetViews>
  <sheetFormatPr defaultColWidth="9.00390625" defaultRowHeight="18.75" customHeight="1" outlineLevelCol="1"/>
  <cols>
    <col min="1" max="1" width="32.125" style="474" customWidth="1"/>
    <col min="2" max="2" width="10.875" style="475" customWidth="1"/>
    <col min="3" max="3" width="6.875" style="475" customWidth="1"/>
    <col min="4" max="4" width="12.25390625" style="475" customWidth="1"/>
    <col min="5" max="6" width="8.75390625" style="476" customWidth="1"/>
    <col min="7" max="7" width="10.00390625" style="476" customWidth="1"/>
    <col min="8" max="8" width="10.875" style="478" customWidth="1"/>
    <col min="9" max="9" width="11.25390625" style="479" customWidth="1"/>
    <col min="10" max="10" width="12.00390625" style="480" customWidth="1"/>
    <col min="11" max="11" width="11.375" style="64" customWidth="1"/>
    <col min="12" max="12" width="9.125" style="29" customWidth="1" outlineLevel="1"/>
    <col min="13" max="13" width="9.375" style="82" customWidth="1" outlineLevel="1"/>
    <col min="14" max="14" width="10.75390625" style="24" bestFit="1" customWidth="1" outlineLevel="1"/>
    <col min="15" max="16384" width="9.125" style="24" customWidth="1"/>
  </cols>
  <sheetData>
    <row r="1" spans="1:11" ht="42.75" customHeight="1">
      <c r="A1" s="531" t="s">
        <v>513</v>
      </c>
      <c r="B1" s="531"/>
      <c r="C1" s="531"/>
      <c r="D1" s="531"/>
      <c r="E1" s="531"/>
      <c r="F1" s="531"/>
      <c r="G1" s="531"/>
      <c r="H1" s="531"/>
      <c r="I1" s="531"/>
      <c r="J1" s="531"/>
      <c r="K1" s="52"/>
    </row>
    <row r="2" spans="1:36" s="18" customFormat="1" ht="23.25" customHeight="1">
      <c r="A2" s="532" t="s">
        <v>514</v>
      </c>
      <c r="B2" s="532"/>
      <c r="C2" s="532"/>
      <c r="D2" s="532"/>
      <c r="E2" s="532"/>
      <c r="F2" s="532"/>
      <c r="G2" s="532"/>
      <c r="H2" s="532"/>
      <c r="I2" s="532"/>
      <c r="J2" s="532"/>
      <c r="K2" s="52"/>
      <c r="L2" s="29"/>
      <c r="M2" s="82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s="18" customFormat="1" ht="23.25" customHeight="1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1"/>
      <c r="L3" s="29"/>
      <c r="M3" s="78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18" customFormat="1" ht="23.25" customHeight="1">
      <c r="A4" s="493" t="s">
        <v>1</v>
      </c>
      <c r="B4" s="493"/>
      <c r="C4" s="493"/>
      <c r="D4" s="493"/>
      <c r="E4" s="493"/>
      <c r="F4" s="493"/>
      <c r="G4" s="493"/>
      <c r="H4" s="493"/>
      <c r="I4" s="493"/>
      <c r="J4" s="493"/>
      <c r="K4" s="1"/>
      <c r="L4" s="29"/>
      <c r="M4" s="78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18" customFormat="1" ht="19.5" customHeight="1" thickBot="1">
      <c r="A5" s="498" t="s">
        <v>2</v>
      </c>
      <c r="B5" s="497" t="s">
        <v>3</v>
      </c>
      <c r="C5" s="497" t="s">
        <v>4</v>
      </c>
      <c r="D5" s="498" t="s">
        <v>5</v>
      </c>
      <c r="E5" s="498"/>
      <c r="F5" s="498"/>
      <c r="G5" s="498"/>
      <c r="H5" s="498"/>
      <c r="I5" s="498"/>
      <c r="J5" s="526" t="s">
        <v>302</v>
      </c>
      <c r="K5" s="1"/>
      <c r="L5" s="115" t="s">
        <v>1</v>
      </c>
      <c r="M5" s="78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3" customFormat="1" ht="19.5" customHeight="1">
      <c r="A6" s="498"/>
      <c r="B6" s="497"/>
      <c r="C6" s="497"/>
      <c r="D6" s="497" t="s">
        <v>6</v>
      </c>
      <c r="E6" s="485" t="s">
        <v>7</v>
      </c>
      <c r="F6" s="485" t="s">
        <v>8</v>
      </c>
      <c r="G6" s="485" t="s">
        <v>9</v>
      </c>
      <c r="H6" s="494" t="s">
        <v>10</v>
      </c>
      <c r="I6" s="527" t="s">
        <v>303</v>
      </c>
      <c r="J6" s="526"/>
      <c r="K6" s="15"/>
      <c r="L6" s="42" t="s">
        <v>70</v>
      </c>
      <c r="M6" s="77">
        <f>D75+D123</f>
        <v>110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8" customFormat="1" ht="19.5" customHeight="1">
      <c r="A7" s="498"/>
      <c r="B7" s="497"/>
      <c r="C7" s="497"/>
      <c r="D7" s="497"/>
      <c r="E7" s="485"/>
      <c r="F7" s="485"/>
      <c r="G7" s="485"/>
      <c r="H7" s="494"/>
      <c r="I7" s="527"/>
      <c r="J7" s="526"/>
      <c r="K7" s="1"/>
      <c r="L7" s="25" t="s">
        <v>80</v>
      </c>
      <c r="M7" s="77">
        <f>B22+D74+D124+B92+C57</f>
        <v>159</v>
      </c>
      <c r="N7" s="84">
        <f>B22+B57+D74+B92+D124</f>
        <v>159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8" customFormat="1" ht="24.75" customHeight="1">
      <c r="A8" s="510" t="s">
        <v>11</v>
      </c>
      <c r="B8" s="510"/>
      <c r="C8" s="510"/>
      <c r="D8" s="510"/>
      <c r="E8" s="36">
        <f>SUM(E9:E30)</f>
        <v>21.499999999999996</v>
      </c>
      <c r="F8" s="36">
        <f>SUM(F9:F30)</f>
        <v>33</v>
      </c>
      <c r="G8" s="36">
        <f>SUM(G9:G30)</f>
        <v>91.49999999999999</v>
      </c>
      <c r="H8" s="75">
        <f>SUM(H9:H30)</f>
        <v>749.1999999999999</v>
      </c>
      <c r="I8" s="192">
        <f>SUM(I9:I30)</f>
        <v>13.74</v>
      </c>
      <c r="J8" s="36"/>
      <c r="K8" s="65"/>
      <c r="L8" s="25" t="s">
        <v>81</v>
      </c>
      <c r="M8" s="78">
        <f>+B63+B96+B60+B85+B41</f>
        <v>45.08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8" customFormat="1" ht="24.75" customHeight="1">
      <c r="A9" s="501" t="s">
        <v>282</v>
      </c>
      <c r="B9" s="501"/>
      <c r="C9" s="501"/>
      <c r="D9" s="113" t="s">
        <v>236</v>
      </c>
      <c r="E9" s="201">
        <v>6.5</v>
      </c>
      <c r="F9" s="201">
        <v>8.6</v>
      </c>
      <c r="G9" s="201">
        <v>41.9</v>
      </c>
      <c r="H9" s="202">
        <f>E9*4+F9*9+G9*4</f>
        <v>271</v>
      </c>
      <c r="I9" s="263">
        <v>0.7</v>
      </c>
      <c r="J9" s="263" t="s">
        <v>341</v>
      </c>
      <c r="K9" s="65"/>
      <c r="L9" s="26" t="s">
        <v>123</v>
      </c>
      <c r="M9" s="78">
        <f>C10+C68+B79</f>
        <v>87</v>
      </c>
      <c r="N9" s="8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8" customFormat="1" ht="24.75" customHeight="1">
      <c r="A10" s="264" t="s">
        <v>283</v>
      </c>
      <c r="B10" s="265">
        <v>30</v>
      </c>
      <c r="C10" s="265">
        <v>30</v>
      </c>
      <c r="D10" s="265"/>
      <c r="E10" s="266"/>
      <c r="F10" s="266"/>
      <c r="G10" s="266"/>
      <c r="H10" s="265"/>
      <c r="I10" s="267"/>
      <c r="J10" s="265"/>
      <c r="K10" s="65"/>
      <c r="L10" s="26" t="s">
        <v>320</v>
      </c>
      <c r="M10" s="78"/>
      <c r="N10" s="8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8" customFormat="1" ht="24.75" customHeight="1">
      <c r="A11" s="264" t="s">
        <v>148</v>
      </c>
      <c r="B11" s="265">
        <v>145</v>
      </c>
      <c r="C11" s="265">
        <v>145</v>
      </c>
      <c r="D11" s="265"/>
      <c r="E11" s="268"/>
      <c r="F11" s="268"/>
      <c r="G11" s="268"/>
      <c r="H11" s="265"/>
      <c r="I11" s="267"/>
      <c r="J11" s="267"/>
      <c r="K11" s="65"/>
      <c r="L11" s="25" t="s">
        <v>137</v>
      </c>
      <c r="M11" s="78">
        <f>B43+B112</f>
        <v>210.9</v>
      </c>
      <c r="N11" s="8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8" customFormat="1" ht="24.75" customHeight="1">
      <c r="A12" s="264" t="s">
        <v>108</v>
      </c>
      <c r="B12" s="265">
        <v>88</v>
      </c>
      <c r="C12" s="265">
        <v>88</v>
      </c>
      <c r="D12" s="265"/>
      <c r="E12" s="268"/>
      <c r="F12" s="268"/>
      <c r="G12" s="268"/>
      <c r="H12" s="265"/>
      <c r="I12" s="267"/>
      <c r="J12" s="267"/>
      <c r="K12" s="65"/>
      <c r="L12" s="25" t="s">
        <v>82</v>
      </c>
      <c r="M12" s="78">
        <f>B33+B35+B38+B48+B47+B59+B119+B70+B46</f>
        <v>460.95000000000005</v>
      </c>
      <c r="N12" s="8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14" ht="24.75" customHeight="1">
      <c r="A13" s="269" t="s">
        <v>12</v>
      </c>
      <c r="B13" s="270">
        <v>5</v>
      </c>
      <c r="C13" s="270">
        <v>5</v>
      </c>
      <c r="D13" s="270"/>
      <c r="E13" s="271"/>
      <c r="F13" s="271"/>
      <c r="G13" s="271"/>
      <c r="H13" s="272"/>
      <c r="I13" s="273"/>
      <c r="J13" s="273"/>
      <c r="K13" s="65"/>
      <c r="L13" s="25" t="s">
        <v>83</v>
      </c>
      <c r="M13" s="78">
        <f>D30</f>
        <v>180</v>
      </c>
      <c r="N13" s="84"/>
    </row>
    <row r="14" spans="1:36" s="18" customFormat="1" ht="24.75" customHeight="1">
      <c r="A14" s="274" t="s">
        <v>149</v>
      </c>
      <c r="B14" s="271">
        <v>1.5</v>
      </c>
      <c r="C14" s="271">
        <v>1.5</v>
      </c>
      <c r="D14" s="270"/>
      <c r="E14" s="271"/>
      <c r="F14" s="271"/>
      <c r="G14" s="271"/>
      <c r="H14" s="272"/>
      <c r="I14" s="273"/>
      <c r="J14" s="273"/>
      <c r="K14" s="65"/>
      <c r="L14" s="25" t="s">
        <v>124</v>
      </c>
      <c r="M14" s="78">
        <f>D87</f>
        <v>200</v>
      </c>
      <c r="N14" s="8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18" customFormat="1" ht="24.75" customHeight="1">
      <c r="A15" s="269" t="s">
        <v>27</v>
      </c>
      <c r="B15" s="270">
        <v>10</v>
      </c>
      <c r="C15" s="270">
        <v>10</v>
      </c>
      <c r="D15" s="270"/>
      <c r="E15" s="271"/>
      <c r="F15" s="271"/>
      <c r="G15" s="271"/>
      <c r="H15" s="272"/>
      <c r="I15" s="273"/>
      <c r="J15" s="273"/>
      <c r="K15" s="65"/>
      <c r="L15" s="25" t="s">
        <v>84</v>
      </c>
      <c r="M15" s="78">
        <f>B72</f>
        <v>25</v>
      </c>
      <c r="N15" s="84">
        <f>B13+B73+B27</f>
        <v>30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18" customFormat="1" ht="24.75" customHeight="1">
      <c r="A16" s="501" t="s">
        <v>109</v>
      </c>
      <c r="B16" s="501"/>
      <c r="C16" s="501"/>
      <c r="D16" s="113" t="s">
        <v>237</v>
      </c>
      <c r="E16" s="201">
        <v>8.1</v>
      </c>
      <c r="F16" s="201">
        <v>12.3</v>
      </c>
      <c r="G16" s="201">
        <v>1.8</v>
      </c>
      <c r="H16" s="75">
        <f>E16*4+F16*9+G16*4</f>
        <v>150.29999999999998</v>
      </c>
      <c r="I16" s="192">
        <v>0.12</v>
      </c>
      <c r="J16" s="263" t="s">
        <v>342</v>
      </c>
      <c r="K16" s="1"/>
      <c r="L16" s="25" t="s">
        <v>85</v>
      </c>
      <c r="M16" s="78">
        <f>C13+B73+B81+B27+B86</f>
        <v>41</v>
      </c>
      <c r="N16" s="8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18" customFormat="1" ht="24.75" customHeight="1">
      <c r="A17" s="269" t="s">
        <v>29</v>
      </c>
      <c r="B17" s="272">
        <v>60</v>
      </c>
      <c r="C17" s="272">
        <v>60</v>
      </c>
      <c r="D17" s="272"/>
      <c r="E17" s="271"/>
      <c r="F17" s="266"/>
      <c r="G17" s="266"/>
      <c r="H17" s="167"/>
      <c r="I17" s="267"/>
      <c r="J17" s="267"/>
      <c r="K17" s="65"/>
      <c r="L17" s="151" t="s">
        <v>197</v>
      </c>
      <c r="M17" s="82">
        <f>B122</f>
        <v>20</v>
      </c>
      <c r="N17" s="8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18" customFormat="1" ht="24.75" customHeight="1">
      <c r="A18" s="264" t="s">
        <v>148</v>
      </c>
      <c r="B18" s="167">
        <v>22.857142857142858</v>
      </c>
      <c r="C18" s="167">
        <v>22.857142857142858</v>
      </c>
      <c r="D18" s="167"/>
      <c r="E18" s="201"/>
      <c r="F18" s="201"/>
      <c r="G18" s="201"/>
      <c r="H18" s="202"/>
      <c r="I18" s="263"/>
      <c r="J18" s="263"/>
      <c r="K18" s="65"/>
      <c r="L18" s="25" t="s">
        <v>125</v>
      </c>
      <c r="M18" s="78">
        <f>B26</f>
        <v>2</v>
      </c>
      <c r="N18" s="8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18" customFormat="1" ht="24.75" customHeight="1">
      <c r="A19" s="264" t="s">
        <v>27</v>
      </c>
      <c r="B19" s="265">
        <v>2</v>
      </c>
      <c r="C19" s="265">
        <v>2</v>
      </c>
      <c r="D19" s="167"/>
      <c r="E19" s="266"/>
      <c r="F19" s="266"/>
      <c r="G19" s="266"/>
      <c r="H19" s="167"/>
      <c r="I19" s="267"/>
      <c r="J19" s="267"/>
      <c r="K19" s="65"/>
      <c r="L19" s="25" t="s">
        <v>86</v>
      </c>
      <c r="M19" s="78">
        <f>B121</f>
        <v>0.4</v>
      </c>
      <c r="N19" s="8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18" customFormat="1" ht="24.75" customHeight="1">
      <c r="A20" s="269" t="s">
        <v>27</v>
      </c>
      <c r="B20" s="270">
        <v>5</v>
      </c>
      <c r="C20" s="270">
        <v>5</v>
      </c>
      <c r="D20" s="270"/>
      <c r="E20" s="271"/>
      <c r="F20" s="271"/>
      <c r="G20" s="271"/>
      <c r="H20" s="272"/>
      <c r="I20" s="273"/>
      <c r="J20" s="273"/>
      <c r="K20" s="65"/>
      <c r="L20" s="25" t="s">
        <v>126</v>
      </c>
      <c r="M20" s="78">
        <f>B54</f>
        <v>91.12</v>
      </c>
      <c r="N20" s="8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14" ht="24.75" customHeight="1">
      <c r="A21" s="501" t="s">
        <v>175</v>
      </c>
      <c r="B21" s="501"/>
      <c r="C21" s="501"/>
      <c r="D21" s="275" t="s">
        <v>238</v>
      </c>
      <c r="E21" s="36">
        <v>4.3</v>
      </c>
      <c r="F21" s="36">
        <v>9.7</v>
      </c>
      <c r="G21" s="36">
        <v>14.2</v>
      </c>
      <c r="H21" s="75">
        <f>E21*4+F21*9+G21*4</f>
        <v>161.3</v>
      </c>
      <c r="I21" s="192">
        <v>0.14</v>
      </c>
      <c r="J21" s="192" t="s">
        <v>343</v>
      </c>
      <c r="K21" s="65"/>
      <c r="L21" s="151" t="s">
        <v>199</v>
      </c>
      <c r="M21" s="78">
        <f>B90</f>
        <v>150.08</v>
      </c>
      <c r="N21" s="84"/>
    </row>
    <row r="22" spans="1:36" s="18" customFormat="1" ht="24.75" customHeight="1">
      <c r="A22" s="276" t="s">
        <v>348</v>
      </c>
      <c r="B22" s="270">
        <v>30</v>
      </c>
      <c r="C22" s="270">
        <v>30</v>
      </c>
      <c r="D22" s="270"/>
      <c r="E22" s="271"/>
      <c r="F22" s="271"/>
      <c r="G22" s="271"/>
      <c r="H22" s="272"/>
      <c r="I22" s="273"/>
      <c r="J22" s="273"/>
      <c r="K22" s="65"/>
      <c r="L22" s="25" t="s">
        <v>87</v>
      </c>
      <c r="M22" s="78">
        <f>B41</f>
        <v>18.88</v>
      </c>
      <c r="N22" s="8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18" customFormat="1" ht="24.75" customHeight="1">
      <c r="A23" s="269" t="s">
        <v>178</v>
      </c>
      <c r="B23" s="270">
        <v>21</v>
      </c>
      <c r="C23" s="270">
        <v>20</v>
      </c>
      <c r="D23" s="270"/>
      <c r="E23" s="271"/>
      <c r="F23" s="271"/>
      <c r="G23" s="271"/>
      <c r="H23" s="272"/>
      <c r="I23" s="273"/>
      <c r="J23" s="273"/>
      <c r="K23" s="65"/>
      <c r="L23" s="25" t="s">
        <v>127</v>
      </c>
      <c r="M23" s="78"/>
      <c r="N23" s="8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18" customFormat="1" ht="24.75" customHeight="1">
      <c r="A24" s="269" t="s">
        <v>27</v>
      </c>
      <c r="B24" s="270">
        <v>5</v>
      </c>
      <c r="C24" s="270">
        <v>5</v>
      </c>
      <c r="D24" s="270"/>
      <c r="E24" s="271"/>
      <c r="F24" s="271"/>
      <c r="G24" s="271"/>
      <c r="H24" s="272"/>
      <c r="I24" s="273"/>
      <c r="J24" s="273"/>
      <c r="K24" s="65"/>
      <c r="L24" s="26" t="s">
        <v>128</v>
      </c>
      <c r="M24" s="78">
        <f>B18+B11++B93+B94+B58++B28</f>
        <v>308.8571428571429</v>
      </c>
      <c r="N24" s="8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8" customFormat="1" ht="24.75" customHeight="1">
      <c r="A25" s="502" t="s">
        <v>554</v>
      </c>
      <c r="B25" s="502"/>
      <c r="C25" s="502"/>
      <c r="D25" s="278">
        <v>200</v>
      </c>
      <c r="E25" s="279">
        <v>2.2</v>
      </c>
      <c r="F25" s="279">
        <v>2.4</v>
      </c>
      <c r="G25" s="279">
        <v>15.6</v>
      </c>
      <c r="H25" s="202">
        <v>93</v>
      </c>
      <c r="I25" s="263">
        <v>0.78</v>
      </c>
      <c r="J25" s="263" t="s">
        <v>357</v>
      </c>
      <c r="K25" s="65"/>
      <c r="L25" s="26" t="s">
        <v>540</v>
      </c>
      <c r="M25" s="78">
        <f>B126</f>
        <v>206</v>
      </c>
      <c r="N25" s="84">
        <f>B11+B18+B58+B94+B93</f>
        <v>208.85714285714286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18" customFormat="1" ht="24.75" customHeight="1">
      <c r="A26" s="280" t="s">
        <v>555</v>
      </c>
      <c r="B26" s="281">
        <v>2</v>
      </c>
      <c r="C26" s="281">
        <v>2</v>
      </c>
      <c r="D26" s="282"/>
      <c r="E26" s="279"/>
      <c r="F26" s="279"/>
      <c r="G26" s="279"/>
      <c r="H26" s="202"/>
      <c r="I26" s="263"/>
      <c r="J26" s="263"/>
      <c r="K26" s="64"/>
      <c r="L26" s="25" t="s">
        <v>88</v>
      </c>
      <c r="M26" s="78">
        <f>B78</f>
        <v>69</v>
      </c>
      <c r="N26" s="8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14" ht="24.75" customHeight="1">
      <c r="A27" s="280" t="s">
        <v>12</v>
      </c>
      <c r="B27" s="281">
        <v>15</v>
      </c>
      <c r="C27" s="281">
        <v>15</v>
      </c>
      <c r="D27" s="281"/>
      <c r="E27" s="283"/>
      <c r="F27" s="283"/>
      <c r="G27" s="283"/>
      <c r="H27" s="281"/>
      <c r="I27" s="284"/>
      <c r="J27" s="281"/>
      <c r="L27" s="25" t="s">
        <v>89</v>
      </c>
      <c r="M27" s="78">
        <f>B66</f>
        <v>10</v>
      </c>
      <c r="N27" s="84"/>
    </row>
    <row r="28" spans="1:14" ht="24.75" customHeight="1">
      <c r="A28" s="285" t="s">
        <v>148</v>
      </c>
      <c r="B28" s="286">
        <v>100</v>
      </c>
      <c r="C28" s="286">
        <v>100</v>
      </c>
      <c r="D28" s="286"/>
      <c r="E28" s="287"/>
      <c r="F28" s="287"/>
      <c r="G28" s="287"/>
      <c r="H28" s="286"/>
      <c r="I28" s="288"/>
      <c r="J28" s="286"/>
      <c r="L28" s="25" t="s">
        <v>132</v>
      </c>
      <c r="M28" s="78">
        <f>B117+B23</f>
        <v>37</v>
      </c>
      <c r="N28" s="84">
        <f>B23+B117</f>
        <v>37</v>
      </c>
    </row>
    <row r="29" spans="1:14" ht="24.75" customHeight="1">
      <c r="A29" s="510" t="s">
        <v>150</v>
      </c>
      <c r="B29" s="510"/>
      <c r="C29" s="510"/>
      <c r="D29" s="510"/>
      <c r="E29" s="510"/>
      <c r="F29" s="510"/>
      <c r="G29" s="510"/>
      <c r="H29" s="510"/>
      <c r="I29" s="510"/>
      <c r="J29" s="510"/>
      <c r="L29" s="25" t="s">
        <v>90</v>
      </c>
      <c r="M29" s="78">
        <f>B15+B24+B50+B116+B19+B20++B98+B64++B69+B82+B84</f>
        <v>63.16</v>
      </c>
      <c r="N29" s="84">
        <f>B15+B19+B20+B24+B50+B64+B98+B116</f>
        <v>49.86</v>
      </c>
    </row>
    <row r="30" spans="1:36" s="18" customFormat="1" ht="24.75" customHeight="1">
      <c r="A30" s="492" t="s">
        <v>337</v>
      </c>
      <c r="B30" s="492"/>
      <c r="C30" s="492"/>
      <c r="D30" s="282">
        <v>180</v>
      </c>
      <c r="E30" s="201">
        <v>0.4</v>
      </c>
      <c r="F30" s="279">
        <v>0</v>
      </c>
      <c r="G30" s="201">
        <v>18</v>
      </c>
      <c r="H30" s="202">
        <f>E30*4+F30*9+G30*4</f>
        <v>73.6</v>
      </c>
      <c r="I30" s="263">
        <v>12</v>
      </c>
      <c r="J30" s="263"/>
      <c r="K30" s="64"/>
      <c r="L30" s="25" t="s">
        <v>63</v>
      </c>
      <c r="M30" s="78">
        <f>B39++B61+B97</f>
        <v>22</v>
      </c>
      <c r="N30" s="84">
        <f>B39+B61</f>
        <v>14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18" customFormat="1" ht="24.75" customHeight="1" thickBot="1">
      <c r="A31" s="510" t="s">
        <v>18</v>
      </c>
      <c r="B31" s="510"/>
      <c r="C31" s="510"/>
      <c r="D31" s="510"/>
      <c r="E31" s="36">
        <f>SUM(E32:E75)</f>
        <v>28.53333333333333</v>
      </c>
      <c r="F31" s="36">
        <f>SUM(F32:F75)</f>
        <v>27.333333333333332</v>
      </c>
      <c r="G31" s="36">
        <f>SUM(G32:G75)</f>
        <v>159.5</v>
      </c>
      <c r="H31" s="75">
        <f>H32+H40+H53+H67+H71+H74+H75</f>
        <v>997.9333333333333</v>
      </c>
      <c r="I31" s="192">
        <f>SUM(I32:I75)</f>
        <v>24.4</v>
      </c>
      <c r="J31" s="36"/>
      <c r="K31" s="64"/>
      <c r="L31" s="27" t="s">
        <v>91</v>
      </c>
      <c r="M31" s="78">
        <f>B80+B95+B17</f>
        <v>85</v>
      </c>
      <c r="N31" s="8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18" customFormat="1" ht="24.75" customHeight="1">
      <c r="A32" s="262" t="s">
        <v>114</v>
      </c>
      <c r="B32" s="262"/>
      <c r="C32" s="262"/>
      <c r="D32" s="113">
        <v>80</v>
      </c>
      <c r="E32" s="36">
        <v>0.9333333333333332</v>
      </c>
      <c r="F32" s="36">
        <v>5</v>
      </c>
      <c r="G32" s="36">
        <v>5.1</v>
      </c>
      <c r="H32" s="75">
        <f>E32*4+F32*9+G32*4</f>
        <v>69.13333333333333</v>
      </c>
      <c r="I32" s="192">
        <v>13.92</v>
      </c>
      <c r="J32" s="192" t="s">
        <v>349</v>
      </c>
      <c r="K32" s="64"/>
      <c r="L32" s="29" t="s">
        <v>200</v>
      </c>
      <c r="M32" s="82"/>
      <c r="N32" s="8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s="18" customFormat="1" ht="24.75" customHeight="1">
      <c r="A33" s="285" t="s">
        <v>120</v>
      </c>
      <c r="B33" s="290">
        <f>C33*1.02</f>
        <v>42.84</v>
      </c>
      <c r="C33" s="290">
        <v>42</v>
      </c>
      <c r="D33" s="272"/>
      <c r="E33" s="271"/>
      <c r="F33" s="271"/>
      <c r="G33" s="271"/>
      <c r="H33" s="272"/>
      <c r="I33" s="273"/>
      <c r="J33" s="273"/>
      <c r="K33" s="64"/>
      <c r="L33" s="29" t="s">
        <v>206</v>
      </c>
      <c r="M33" s="156"/>
      <c r="N33" s="8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s="18" customFormat="1" ht="24.75" customHeight="1">
      <c r="A34" s="285" t="s">
        <v>215</v>
      </c>
      <c r="B34" s="290">
        <f>C34*1.18</f>
        <v>49.559999999999995</v>
      </c>
      <c r="C34" s="290">
        <v>42</v>
      </c>
      <c r="D34" s="272"/>
      <c r="E34" s="271"/>
      <c r="F34" s="271"/>
      <c r="G34" s="271"/>
      <c r="H34" s="272"/>
      <c r="I34" s="273"/>
      <c r="J34" s="273"/>
      <c r="K34" s="64"/>
      <c r="L34" s="29"/>
      <c r="M34" s="82"/>
      <c r="N34" s="8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s="18" customFormat="1" ht="24.75" customHeight="1">
      <c r="A35" s="285" t="s">
        <v>158</v>
      </c>
      <c r="B35" s="290">
        <f>C35*1.02</f>
        <v>29.580000000000002</v>
      </c>
      <c r="C35" s="286">
        <v>29</v>
      </c>
      <c r="D35" s="272"/>
      <c r="E35" s="271"/>
      <c r="F35" s="271"/>
      <c r="G35" s="271"/>
      <c r="H35" s="271"/>
      <c r="I35" s="273"/>
      <c r="J35" s="273"/>
      <c r="K35" s="64"/>
      <c r="L35" s="29"/>
      <c r="M35" s="82"/>
      <c r="N35" s="8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s="18" customFormat="1" ht="24.75" customHeight="1">
      <c r="A36" s="285" t="s">
        <v>213</v>
      </c>
      <c r="B36" s="287">
        <f>C36*1.05</f>
        <v>30.450000000000003</v>
      </c>
      <c r="C36" s="286">
        <v>29</v>
      </c>
      <c r="D36" s="272"/>
      <c r="E36" s="271"/>
      <c r="F36" s="271"/>
      <c r="G36" s="271"/>
      <c r="H36" s="271"/>
      <c r="I36" s="273"/>
      <c r="J36" s="273"/>
      <c r="K36" s="64"/>
      <c r="L36" s="29"/>
      <c r="M36" s="82"/>
      <c r="N36" s="8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s="18" customFormat="1" ht="24.75" customHeight="1">
      <c r="A37" s="291" t="s">
        <v>212</v>
      </c>
      <c r="B37" s="290">
        <f>C37*1.25</f>
        <v>10</v>
      </c>
      <c r="C37" s="286">
        <v>8</v>
      </c>
      <c r="D37" s="272"/>
      <c r="E37" s="271"/>
      <c r="F37" s="271"/>
      <c r="G37" s="271"/>
      <c r="H37" s="272"/>
      <c r="I37" s="273"/>
      <c r="J37" s="273"/>
      <c r="K37" s="64"/>
      <c r="L37" s="29"/>
      <c r="M37" s="82"/>
      <c r="N37" s="8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s="18" customFormat="1" ht="24.75" customHeight="1">
      <c r="A38" s="285" t="s">
        <v>113</v>
      </c>
      <c r="B38" s="287">
        <f>C38*1.19</f>
        <v>9.52</v>
      </c>
      <c r="C38" s="286">
        <v>8</v>
      </c>
      <c r="D38" s="272"/>
      <c r="E38" s="271"/>
      <c r="F38" s="271"/>
      <c r="G38" s="271"/>
      <c r="H38" s="272"/>
      <c r="I38" s="273"/>
      <c r="J38" s="273"/>
      <c r="K38" s="64"/>
      <c r="L38" s="29"/>
      <c r="M38" s="82"/>
      <c r="N38" s="8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s="18" customFormat="1" ht="24.75" customHeight="1">
      <c r="A39" s="285" t="s">
        <v>20</v>
      </c>
      <c r="B39" s="286">
        <v>4</v>
      </c>
      <c r="C39" s="286">
        <v>4</v>
      </c>
      <c r="D39" s="272"/>
      <c r="E39" s="271"/>
      <c r="F39" s="271"/>
      <c r="G39" s="271"/>
      <c r="H39" s="272"/>
      <c r="I39" s="273"/>
      <c r="J39" s="273"/>
      <c r="K39" s="64"/>
      <c r="L39" s="29"/>
      <c r="M39" s="82"/>
      <c r="N39" s="8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s="18" customFormat="1" ht="24.75" customHeight="1">
      <c r="A40" s="511" t="s">
        <v>473</v>
      </c>
      <c r="B40" s="511"/>
      <c r="C40" s="511"/>
      <c r="D40" s="113" t="s">
        <v>606</v>
      </c>
      <c r="E40" s="201">
        <v>6.4</v>
      </c>
      <c r="F40" s="201">
        <v>6.5</v>
      </c>
      <c r="G40" s="201">
        <v>47.8</v>
      </c>
      <c r="H40" s="202">
        <f>E40*4+F40*9+G40*4</f>
        <v>275.29999999999995</v>
      </c>
      <c r="I40" s="263">
        <v>7.7</v>
      </c>
      <c r="J40" s="192" t="s">
        <v>446</v>
      </c>
      <c r="K40" s="64"/>
      <c r="L40" s="29"/>
      <c r="M40" s="82"/>
      <c r="N40" s="8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s="18" customFormat="1" ht="39.75" customHeight="1">
      <c r="A41" s="302" t="s">
        <v>67</v>
      </c>
      <c r="B41" s="325">
        <f>C41*1.18</f>
        <v>18.88</v>
      </c>
      <c r="C41" s="442">
        <v>16</v>
      </c>
      <c r="D41" s="294"/>
      <c r="E41" s="287"/>
      <c r="F41" s="287"/>
      <c r="G41" s="287"/>
      <c r="H41" s="287"/>
      <c r="I41" s="288"/>
      <c r="J41" s="287"/>
      <c r="K41" s="64"/>
      <c r="L41" s="29"/>
      <c r="M41" s="82"/>
      <c r="N41" s="8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s="18" customFormat="1" ht="39.75" customHeight="1">
      <c r="A42" s="299" t="s">
        <v>71</v>
      </c>
      <c r="B42" s="443">
        <f>C42*1.36</f>
        <v>21.76</v>
      </c>
      <c r="C42" s="442">
        <v>16</v>
      </c>
      <c r="D42" s="294"/>
      <c r="E42" s="287"/>
      <c r="F42" s="295"/>
      <c r="G42" s="295"/>
      <c r="H42" s="296"/>
      <c r="I42" s="297"/>
      <c r="J42" s="297"/>
      <c r="K42" s="64"/>
      <c r="L42" s="29"/>
      <c r="M42" s="82"/>
      <c r="N42" s="8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s="18" customFormat="1" ht="24.75" customHeight="1">
      <c r="A43" s="269" t="s">
        <v>607</v>
      </c>
      <c r="B43" s="270">
        <v>38</v>
      </c>
      <c r="C43" s="270">
        <v>25</v>
      </c>
      <c r="D43" s="444"/>
      <c r="E43" s="445"/>
      <c r="F43" s="445"/>
      <c r="G43" s="445"/>
      <c r="H43" s="372"/>
      <c r="I43" s="446"/>
      <c r="J43" s="446"/>
      <c r="K43" s="64"/>
      <c r="L43" s="29"/>
      <c r="M43" s="82"/>
      <c r="N43" s="8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s="18" customFormat="1" ht="24.75" customHeight="1">
      <c r="A44" s="481" t="s">
        <v>21</v>
      </c>
      <c r="B44" s="290">
        <f>C44*1.33</f>
        <v>86.45</v>
      </c>
      <c r="C44" s="329">
        <v>65</v>
      </c>
      <c r="D44" s="281"/>
      <c r="E44" s="283"/>
      <c r="F44" s="283"/>
      <c r="G44" s="283"/>
      <c r="H44" s="281"/>
      <c r="I44" s="284"/>
      <c r="J44" s="284"/>
      <c r="K44" s="64"/>
      <c r="L44" s="29"/>
      <c r="M44" s="82"/>
      <c r="N44" s="8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s="18" customFormat="1" ht="24.75" customHeight="1">
      <c r="A45" s="291" t="s">
        <v>22</v>
      </c>
      <c r="B45" s="290">
        <f>C45*1.43</f>
        <v>92.95</v>
      </c>
      <c r="C45" s="329">
        <v>65</v>
      </c>
      <c r="D45" s="374"/>
      <c r="E45" s="336"/>
      <c r="F45" s="336"/>
      <c r="G45" s="336"/>
      <c r="H45" s="75"/>
      <c r="I45" s="192"/>
      <c r="J45" s="192"/>
      <c r="K45" s="64"/>
      <c r="L45" s="29"/>
      <c r="M45" s="82"/>
      <c r="N45" s="8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s="18" customFormat="1" ht="16.5" customHeight="1">
      <c r="A46" s="285" t="s">
        <v>23</v>
      </c>
      <c r="B46" s="290">
        <f>C46*1.54</f>
        <v>100.10000000000001</v>
      </c>
      <c r="C46" s="329">
        <v>65</v>
      </c>
      <c r="D46" s="376"/>
      <c r="E46" s="367"/>
      <c r="F46" s="367"/>
      <c r="G46" s="367"/>
      <c r="H46" s="329"/>
      <c r="I46" s="318"/>
      <c r="J46" s="318"/>
      <c r="K46" s="64"/>
      <c r="L46" s="29"/>
      <c r="M46" s="508" t="s">
        <v>335</v>
      </c>
      <c r="N46" s="508"/>
      <c r="O46" s="508"/>
      <c r="P46" s="31" t="s">
        <v>399</v>
      </c>
      <c r="Q46" s="34">
        <v>4</v>
      </c>
      <c r="R46" s="61">
        <v>6.4</v>
      </c>
      <c r="S46" s="61">
        <v>36</v>
      </c>
      <c r="T46" s="35">
        <f>Q46*4+R46*9+S46*4</f>
        <v>217.6</v>
      </c>
      <c r="U46" s="186">
        <v>20.26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 s="18" customFormat="1" ht="17.25" customHeight="1">
      <c r="A47" s="285" t="s">
        <v>24</v>
      </c>
      <c r="B47" s="290">
        <f>C47*1.67</f>
        <v>108.55</v>
      </c>
      <c r="C47" s="329">
        <v>65</v>
      </c>
      <c r="D47" s="376"/>
      <c r="E47" s="367"/>
      <c r="F47" s="367"/>
      <c r="G47" s="367"/>
      <c r="H47" s="329"/>
      <c r="I47" s="318"/>
      <c r="J47" s="318"/>
      <c r="K47" s="64"/>
      <c r="L47" s="29"/>
      <c r="M47" s="150" t="s">
        <v>270</v>
      </c>
      <c r="N47" s="198">
        <v>36</v>
      </c>
      <c r="O47" s="199">
        <v>35</v>
      </c>
      <c r="P47" s="31"/>
      <c r="Q47" s="34"/>
      <c r="R47" s="34"/>
      <c r="S47" s="34"/>
      <c r="T47" s="35"/>
      <c r="U47" s="186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 s="18" customFormat="1" ht="18.75" customHeight="1">
      <c r="A48" s="291" t="s">
        <v>25</v>
      </c>
      <c r="B48" s="287">
        <f>C48*1.25</f>
        <v>17.5</v>
      </c>
      <c r="C48" s="329">
        <v>14</v>
      </c>
      <c r="D48" s="376"/>
      <c r="E48" s="367"/>
      <c r="F48" s="367"/>
      <c r="G48" s="367"/>
      <c r="H48" s="329"/>
      <c r="I48" s="318"/>
      <c r="J48" s="318"/>
      <c r="K48" s="64"/>
      <c r="L48" s="29"/>
      <c r="M48" s="204" t="s">
        <v>21</v>
      </c>
      <c r="N48" s="116">
        <f>O48*1.33</f>
        <v>146.3</v>
      </c>
      <c r="O48" s="116">
        <v>110</v>
      </c>
      <c r="P48" s="116"/>
      <c r="Q48" s="117"/>
      <c r="R48" s="117"/>
      <c r="S48" s="117"/>
      <c r="T48" s="116"/>
      <c r="U48" s="191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 s="18" customFormat="1" ht="21.75" customHeight="1">
      <c r="A49" s="291" t="s">
        <v>19</v>
      </c>
      <c r="B49" s="287">
        <f>C49*1.33</f>
        <v>18.62</v>
      </c>
      <c r="C49" s="329">
        <v>14</v>
      </c>
      <c r="D49" s="376"/>
      <c r="E49" s="367"/>
      <c r="F49" s="367"/>
      <c r="G49" s="367"/>
      <c r="H49" s="329"/>
      <c r="I49" s="318"/>
      <c r="J49" s="318"/>
      <c r="K49" s="64"/>
      <c r="L49" s="29"/>
      <c r="M49" s="94" t="s">
        <v>22</v>
      </c>
      <c r="N49" s="73">
        <f>O49*1.43</f>
        <v>157.29999999999998</v>
      </c>
      <c r="O49" s="116">
        <v>110</v>
      </c>
      <c r="P49" s="73"/>
      <c r="Q49" s="102"/>
      <c r="R49" s="102"/>
      <c r="S49" s="102"/>
      <c r="T49" s="73"/>
      <c r="U49" s="190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s="18" customFormat="1" ht="17.25" customHeight="1">
      <c r="A50" s="291" t="s">
        <v>26</v>
      </c>
      <c r="B50" s="290">
        <f>C50*1.19</f>
        <v>16.66</v>
      </c>
      <c r="C50" s="329">
        <v>14</v>
      </c>
      <c r="D50" s="376"/>
      <c r="E50" s="367"/>
      <c r="F50" s="367"/>
      <c r="G50" s="367"/>
      <c r="H50" s="329"/>
      <c r="I50" s="318"/>
      <c r="J50" s="318"/>
      <c r="K50" s="64"/>
      <c r="L50" s="29"/>
      <c r="M50" s="94" t="s">
        <v>23</v>
      </c>
      <c r="N50" s="73">
        <f>O50*1.54</f>
        <v>169.4</v>
      </c>
      <c r="O50" s="116">
        <v>110</v>
      </c>
      <c r="P50" s="73"/>
      <c r="Q50" s="102"/>
      <c r="R50" s="102"/>
      <c r="S50" s="102"/>
      <c r="T50" s="73"/>
      <c r="U50" s="190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s="18" customFormat="1" ht="17.25" customHeight="1">
      <c r="A51" s="291" t="s">
        <v>27</v>
      </c>
      <c r="B51" s="329">
        <v>8</v>
      </c>
      <c r="C51" s="329">
        <v>8</v>
      </c>
      <c r="D51" s="376"/>
      <c r="E51" s="367"/>
      <c r="F51" s="367"/>
      <c r="G51" s="367"/>
      <c r="H51" s="329"/>
      <c r="I51" s="318"/>
      <c r="J51" s="318"/>
      <c r="K51" s="64"/>
      <c r="L51" s="29"/>
      <c r="M51" s="94"/>
      <c r="N51" s="73"/>
      <c r="O51" s="116"/>
      <c r="P51" s="73"/>
      <c r="Q51" s="102"/>
      <c r="R51" s="102"/>
      <c r="S51" s="102"/>
      <c r="T51" s="73"/>
      <c r="U51" s="190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s="18" customFormat="1" ht="17.25" customHeight="1">
      <c r="A52" s="269" t="s">
        <v>147</v>
      </c>
      <c r="B52" s="286">
        <v>32</v>
      </c>
      <c r="C52" s="286">
        <v>32</v>
      </c>
      <c r="D52" s="286"/>
      <c r="E52" s="287"/>
      <c r="F52" s="287"/>
      <c r="G52" s="287"/>
      <c r="H52" s="290"/>
      <c r="I52" s="288"/>
      <c r="J52" s="288"/>
      <c r="K52" s="64"/>
      <c r="L52" s="29"/>
      <c r="M52" s="94"/>
      <c r="N52" s="73"/>
      <c r="O52" s="116"/>
      <c r="P52" s="73"/>
      <c r="Q52" s="102"/>
      <c r="R52" s="102"/>
      <c r="S52" s="102"/>
      <c r="T52" s="73"/>
      <c r="U52" s="190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s="18" customFormat="1" ht="24.75" customHeight="1">
      <c r="A53" s="501" t="s">
        <v>260</v>
      </c>
      <c r="B53" s="501"/>
      <c r="C53" s="501"/>
      <c r="D53" s="113">
        <v>100</v>
      </c>
      <c r="E53" s="36">
        <v>8.3</v>
      </c>
      <c r="F53" s="36">
        <v>8.5</v>
      </c>
      <c r="G53" s="36">
        <v>4.4</v>
      </c>
      <c r="H53" s="75">
        <f>E53*4+F53*9+G53*4</f>
        <v>127.30000000000001</v>
      </c>
      <c r="I53" s="192">
        <v>0.18</v>
      </c>
      <c r="J53" s="192" t="s">
        <v>350</v>
      </c>
      <c r="K53" s="64"/>
      <c r="L53" s="28"/>
      <c r="M53" s="94" t="s">
        <v>25</v>
      </c>
      <c r="N53" s="73">
        <f>O53*1.25</f>
        <v>17.5</v>
      </c>
      <c r="O53" s="92">
        <v>14</v>
      </c>
      <c r="P53" s="73"/>
      <c r="Q53" s="102"/>
      <c r="R53" s="102"/>
      <c r="S53" s="102"/>
      <c r="T53" s="73"/>
      <c r="U53" s="190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s="18" customFormat="1" ht="24.75" customHeight="1">
      <c r="A54" s="299" t="s">
        <v>60</v>
      </c>
      <c r="B54" s="301">
        <f>C54*1.36</f>
        <v>91.12</v>
      </c>
      <c r="C54" s="290">
        <v>67</v>
      </c>
      <c r="D54" s="75"/>
      <c r="E54" s="36"/>
      <c r="F54" s="36"/>
      <c r="G54" s="36"/>
      <c r="H54" s="75"/>
      <c r="I54" s="192"/>
      <c r="J54" s="192"/>
      <c r="K54" s="64"/>
      <c r="L54" s="28"/>
      <c r="M54" s="94" t="s">
        <v>19</v>
      </c>
      <c r="N54" s="73">
        <f>O54*1.33</f>
        <v>18.62</v>
      </c>
      <c r="O54" s="92">
        <v>14</v>
      </c>
      <c r="P54" s="73"/>
      <c r="Q54" s="102"/>
      <c r="R54" s="102"/>
      <c r="S54" s="102"/>
      <c r="T54" s="73"/>
      <c r="U54" s="190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s="18" customFormat="1" ht="24.75" customHeight="1">
      <c r="A55" s="302" t="s">
        <v>72</v>
      </c>
      <c r="B55" s="301">
        <f>C55*1.18</f>
        <v>79.06</v>
      </c>
      <c r="C55" s="290">
        <v>67</v>
      </c>
      <c r="D55" s="75"/>
      <c r="E55" s="36"/>
      <c r="F55" s="36"/>
      <c r="G55" s="36"/>
      <c r="H55" s="75"/>
      <c r="I55" s="192"/>
      <c r="J55" s="192"/>
      <c r="K55" s="64"/>
      <c r="L55" s="28"/>
      <c r="M55" s="94" t="s">
        <v>26</v>
      </c>
      <c r="N55" s="73">
        <f>O55*1.19</f>
        <v>16.66</v>
      </c>
      <c r="O55" s="92">
        <v>14</v>
      </c>
      <c r="P55" s="73"/>
      <c r="Q55" s="102"/>
      <c r="R55" s="102"/>
      <c r="S55" s="102"/>
      <c r="T55" s="73"/>
      <c r="U55" s="190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s="18" customFormat="1" ht="24.75" customHeight="1">
      <c r="A56" s="303" t="s">
        <v>400</v>
      </c>
      <c r="B56" s="301">
        <f>C55</f>
        <v>67</v>
      </c>
      <c r="C56" s="290">
        <v>67</v>
      </c>
      <c r="D56" s="75"/>
      <c r="E56" s="36"/>
      <c r="F56" s="36"/>
      <c r="G56" s="36"/>
      <c r="H56" s="75"/>
      <c r="I56" s="192"/>
      <c r="J56" s="192"/>
      <c r="K56" s="64"/>
      <c r="L56" s="28"/>
      <c r="M56" s="94" t="s">
        <v>27</v>
      </c>
      <c r="N56" s="73">
        <v>8</v>
      </c>
      <c r="O56" s="92">
        <v>8</v>
      </c>
      <c r="P56" s="73"/>
      <c r="Q56" s="102"/>
      <c r="R56" s="102"/>
      <c r="S56" s="102"/>
      <c r="T56" s="73"/>
      <c r="U56" s="190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21" ht="24.75" customHeight="1">
      <c r="A57" s="269" t="s">
        <v>36</v>
      </c>
      <c r="B57" s="290">
        <v>7</v>
      </c>
      <c r="C57" s="290">
        <v>7</v>
      </c>
      <c r="D57" s="75"/>
      <c r="E57" s="36"/>
      <c r="F57" s="36"/>
      <c r="G57" s="36"/>
      <c r="H57" s="75"/>
      <c r="I57" s="192"/>
      <c r="J57" s="192"/>
      <c r="L57" s="28"/>
      <c r="M57" s="94" t="s">
        <v>68</v>
      </c>
      <c r="N57" s="73">
        <v>4</v>
      </c>
      <c r="O57" s="92">
        <v>3</v>
      </c>
      <c r="P57" s="73"/>
      <c r="Q57" s="102"/>
      <c r="R57" s="102"/>
      <c r="S57" s="102"/>
      <c r="T57" s="73"/>
      <c r="U57" s="190"/>
    </row>
    <row r="58" spans="1:14" ht="24.75" customHeight="1">
      <c r="A58" s="304" t="s">
        <v>196</v>
      </c>
      <c r="B58" s="305">
        <v>17</v>
      </c>
      <c r="C58" s="305">
        <v>17</v>
      </c>
      <c r="D58" s="202"/>
      <c r="E58" s="201"/>
      <c r="F58" s="201"/>
      <c r="G58" s="201"/>
      <c r="H58" s="202"/>
      <c r="I58" s="263"/>
      <c r="J58" s="263"/>
      <c r="L58" s="28"/>
      <c r="N58" s="84"/>
    </row>
    <row r="59" spans="1:36" s="18" customFormat="1" ht="24.75" customHeight="1">
      <c r="A59" s="285" t="s">
        <v>26</v>
      </c>
      <c r="B59" s="290">
        <f>C59*1.19</f>
        <v>8.159999999999998</v>
      </c>
      <c r="C59" s="290">
        <v>6.857142857142857</v>
      </c>
      <c r="D59" s="75"/>
      <c r="E59" s="36"/>
      <c r="F59" s="36"/>
      <c r="G59" s="36"/>
      <c r="H59" s="75"/>
      <c r="I59" s="192"/>
      <c r="J59" s="192"/>
      <c r="K59" s="64"/>
      <c r="L59" s="28"/>
      <c r="M59" s="82"/>
      <c r="N59" s="8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1:36" s="18" customFormat="1" ht="24.75" customHeight="1">
      <c r="A60" s="285" t="s">
        <v>28</v>
      </c>
      <c r="B60" s="290">
        <v>5</v>
      </c>
      <c r="C60" s="290">
        <v>5</v>
      </c>
      <c r="D60" s="75"/>
      <c r="E60" s="36"/>
      <c r="F60" s="36"/>
      <c r="G60" s="36"/>
      <c r="H60" s="75"/>
      <c r="I60" s="192"/>
      <c r="J60" s="192"/>
      <c r="K60" s="64"/>
      <c r="L60" s="28"/>
      <c r="M60" s="82"/>
      <c r="N60" s="8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61" spans="1:36" s="18" customFormat="1" ht="24.75" customHeight="1">
      <c r="A61" s="285" t="s">
        <v>20</v>
      </c>
      <c r="B61" s="290">
        <v>10</v>
      </c>
      <c r="C61" s="290">
        <v>10</v>
      </c>
      <c r="D61" s="75"/>
      <c r="E61" s="36"/>
      <c r="F61" s="36"/>
      <c r="G61" s="36"/>
      <c r="H61" s="75"/>
      <c r="I61" s="192"/>
      <c r="J61" s="192"/>
      <c r="K61" s="64"/>
      <c r="L61" s="28"/>
      <c r="M61" s="82"/>
      <c r="N61" s="509" t="s">
        <v>469</v>
      </c>
      <c r="O61" s="509"/>
      <c r="P61" s="509"/>
      <c r="Q61" s="33" t="s">
        <v>258</v>
      </c>
      <c r="R61" s="38">
        <v>6.9</v>
      </c>
      <c r="S61" s="38">
        <v>6.8</v>
      </c>
      <c r="T61" s="38">
        <v>19.6</v>
      </c>
      <c r="U61" s="35">
        <f>R61*4+S61*9+T61*4</f>
        <v>167.2</v>
      </c>
      <c r="V61" s="186">
        <v>0.2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 s="18" customFormat="1" ht="24.75" customHeight="1">
      <c r="A62" s="306" t="s">
        <v>165</v>
      </c>
      <c r="B62" s="290"/>
      <c r="C62" s="307">
        <v>20</v>
      </c>
      <c r="D62" s="113"/>
      <c r="E62" s="36"/>
      <c r="F62" s="36"/>
      <c r="G62" s="36"/>
      <c r="H62" s="75"/>
      <c r="I62" s="192"/>
      <c r="J62" s="192"/>
      <c r="K62" s="64"/>
      <c r="L62" s="28"/>
      <c r="M62" s="82"/>
      <c r="N62" s="94" t="s">
        <v>28</v>
      </c>
      <c r="O62" s="92">
        <v>27</v>
      </c>
      <c r="P62" s="92">
        <v>27</v>
      </c>
      <c r="Q62" s="118"/>
      <c r="R62" s="119"/>
      <c r="S62" s="119"/>
      <c r="T62" s="119"/>
      <c r="U62" s="120"/>
      <c r="V62" s="193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s="18" customFormat="1" ht="24.75" customHeight="1">
      <c r="A63" s="285" t="s">
        <v>28</v>
      </c>
      <c r="B63" s="287">
        <v>1.2</v>
      </c>
      <c r="C63" s="287">
        <v>1.2</v>
      </c>
      <c r="D63" s="113"/>
      <c r="E63" s="36"/>
      <c r="F63" s="36"/>
      <c r="G63" s="36"/>
      <c r="H63" s="75"/>
      <c r="I63" s="192"/>
      <c r="J63" s="192"/>
      <c r="K63" s="64"/>
      <c r="L63" s="28"/>
      <c r="M63" s="82"/>
      <c r="N63" s="93" t="s">
        <v>29</v>
      </c>
      <c r="O63" s="92">
        <v>5.6</v>
      </c>
      <c r="P63" s="92">
        <v>5.6</v>
      </c>
      <c r="Q63" s="118"/>
      <c r="R63" s="119"/>
      <c r="S63" s="119"/>
      <c r="T63" s="119"/>
      <c r="U63" s="120"/>
      <c r="V63" s="193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1:36" s="18" customFormat="1" ht="24.75" customHeight="1">
      <c r="A64" s="285" t="s">
        <v>27</v>
      </c>
      <c r="B64" s="287">
        <v>1.2</v>
      </c>
      <c r="C64" s="287">
        <v>1.2</v>
      </c>
      <c r="D64" s="113"/>
      <c r="E64" s="36"/>
      <c r="F64" s="36"/>
      <c r="G64" s="36"/>
      <c r="H64" s="75"/>
      <c r="I64" s="192"/>
      <c r="J64" s="192"/>
      <c r="K64" s="64"/>
      <c r="L64" s="28"/>
      <c r="M64" s="82"/>
      <c r="N64" s="93" t="s">
        <v>108</v>
      </c>
      <c r="O64" s="92">
        <v>7</v>
      </c>
      <c r="P64" s="92">
        <v>7</v>
      </c>
      <c r="Q64" s="118"/>
      <c r="R64" s="119"/>
      <c r="S64" s="119"/>
      <c r="T64" s="119"/>
      <c r="U64" s="120"/>
      <c r="V64" s="193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spans="1:36" s="18" customFormat="1" ht="24.75" customHeight="1">
      <c r="A65" s="269" t="s">
        <v>108</v>
      </c>
      <c r="B65" s="290">
        <v>10</v>
      </c>
      <c r="C65" s="290">
        <v>10</v>
      </c>
      <c r="D65" s="113"/>
      <c r="E65" s="36"/>
      <c r="F65" s="36"/>
      <c r="G65" s="36"/>
      <c r="H65" s="75"/>
      <c r="I65" s="192"/>
      <c r="J65" s="192"/>
      <c r="K65" s="64"/>
      <c r="L65" s="28"/>
      <c r="M65" s="82"/>
      <c r="N65" s="194" t="s">
        <v>149</v>
      </c>
      <c r="O65" s="92">
        <v>0.7</v>
      </c>
      <c r="P65" s="92">
        <v>0.7</v>
      </c>
      <c r="Q65" s="118"/>
      <c r="R65" s="119"/>
      <c r="S65" s="119"/>
      <c r="T65" s="119"/>
      <c r="U65" s="120"/>
      <c r="V65" s="193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</row>
    <row r="66" spans="1:36" s="18" customFormat="1" ht="24.75" customHeight="1">
      <c r="A66" s="269" t="s">
        <v>93</v>
      </c>
      <c r="B66" s="290">
        <v>10</v>
      </c>
      <c r="C66" s="290">
        <v>10</v>
      </c>
      <c r="D66" s="113"/>
      <c r="E66" s="36"/>
      <c r="F66" s="36"/>
      <c r="G66" s="36"/>
      <c r="H66" s="75"/>
      <c r="I66" s="192"/>
      <c r="J66" s="192"/>
      <c r="K66" s="64"/>
      <c r="L66" s="28"/>
      <c r="M66" s="82"/>
      <c r="N66" s="103" t="s">
        <v>167</v>
      </c>
      <c r="O66" s="92">
        <v>28</v>
      </c>
      <c r="P66" s="92">
        <v>28</v>
      </c>
      <c r="Q66" s="118"/>
      <c r="R66" s="119"/>
      <c r="S66" s="119"/>
      <c r="T66" s="119"/>
      <c r="U66" s="120"/>
      <c r="V66" s="193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</row>
    <row r="67" spans="1:22" ht="24.75" customHeight="1">
      <c r="A67" s="496" t="s">
        <v>330</v>
      </c>
      <c r="B67" s="496"/>
      <c r="C67" s="496"/>
      <c r="D67" s="227">
        <v>200</v>
      </c>
      <c r="E67" s="201">
        <v>2</v>
      </c>
      <c r="F67" s="201">
        <v>5.4</v>
      </c>
      <c r="G67" s="201">
        <v>31</v>
      </c>
      <c r="H67" s="202">
        <f>E67*4+F67*9+G67*4</f>
        <v>180.6</v>
      </c>
      <c r="I67" s="192">
        <v>2.2</v>
      </c>
      <c r="J67" s="308" t="s">
        <v>334</v>
      </c>
      <c r="L67" s="28"/>
      <c r="N67" s="94" t="s">
        <v>25</v>
      </c>
      <c r="O67" s="102">
        <f>P67*1.25</f>
        <v>17.5</v>
      </c>
      <c r="P67" s="92">
        <v>14</v>
      </c>
      <c r="Q67" s="118"/>
      <c r="R67" s="119"/>
      <c r="S67" s="119"/>
      <c r="T67" s="119"/>
      <c r="U67" s="120"/>
      <c r="V67" s="193"/>
    </row>
    <row r="68" spans="1:22" ht="24.75" customHeight="1">
      <c r="A68" s="269" t="s">
        <v>31</v>
      </c>
      <c r="B68" s="270">
        <v>53</v>
      </c>
      <c r="C68" s="270">
        <v>53</v>
      </c>
      <c r="D68" s="270"/>
      <c r="E68" s="271"/>
      <c r="F68" s="271"/>
      <c r="G68" s="36"/>
      <c r="H68" s="75"/>
      <c r="I68" s="309"/>
      <c r="J68" s="310"/>
      <c r="L68" s="28"/>
      <c r="N68" s="94" t="s">
        <v>19</v>
      </c>
      <c r="O68" s="73">
        <f>P68*1.33</f>
        <v>18.62</v>
      </c>
      <c r="P68" s="92">
        <v>14</v>
      </c>
      <c r="Q68" s="118"/>
      <c r="R68" s="119"/>
      <c r="S68" s="119"/>
      <c r="T68" s="119"/>
      <c r="U68" s="120"/>
      <c r="V68" s="193"/>
    </row>
    <row r="69" spans="1:22" ht="24.75" customHeight="1">
      <c r="A69" s="285" t="s">
        <v>27</v>
      </c>
      <c r="B69" s="286">
        <v>5</v>
      </c>
      <c r="C69" s="286">
        <v>5</v>
      </c>
      <c r="D69" s="296"/>
      <c r="E69" s="295"/>
      <c r="F69" s="295"/>
      <c r="G69" s="295"/>
      <c r="H69" s="296"/>
      <c r="I69" s="288"/>
      <c r="J69" s="288"/>
      <c r="L69" s="28"/>
      <c r="N69" s="94" t="s">
        <v>26</v>
      </c>
      <c r="O69" s="73">
        <f>P69*1.19</f>
        <v>16.66</v>
      </c>
      <c r="P69" s="92">
        <v>14</v>
      </c>
      <c r="Q69" s="118"/>
      <c r="R69" s="119"/>
      <c r="S69" s="119"/>
      <c r="T69" s="119"/>
      <c r="U69" s="120"/>
      <c r="V69" s="193"/>
    </row>
    <row r="70" spans="1:22" ht="24.75" customHeight="1">
      <c r="A70" s="269" t="s">
        <v>56</v>
      </c>
      <c r="B70" s="272">
        <f>C70*1.67</f>
        <v>83.5</v>
      </c>
      <c r="C70" s="270">
        <v>50</v>
      </c>
      <c r="D70" s="270"/>
      <c r="E70" s="271"/>
      <c r="F70" s="271"/>
      <c r="G70" s="36"/>
      <c r="H70" s="75"/>
      <c r="I70" s="249"/>
      <c r="J70" s="312"/>
      <c r="L70" s="28"/>
      <c r="N70" s="122" t="s">
        <v>51</v>
      </c>
      <c r="O70" s="17">
        <v>40</v>
      </c>
      <c r="P70" s="32">
        <v>36</v>
      </c>
      <c r="Q70" s="118"/>
      <c r="R70" s="119"/>
      <c r="S70" s="37"/>
      <c r="T70" s="37"/>
      <c r="U70" s="32"/>
      <c r="V70" s="187"/>
    </row>
    <row r="71" spans="1:22" ht="24.75" customHeight="1">
      <c r="A71" s="501" t="s">
        <v>69</v>
      </c>
      <c r="B71" s="501"/>
      <c r="C71" s="501"/>
      <c r="D71" s="113">
        <v>200</v>
      </c>
      <c r="E71" s="201">
        <v>0.3</v>
      </c>
      <c r="F71" s="201">
        <v>0.13333333333333333</v>
      </c>
      <c r="G71" s="201">
        <v>20.8</v>
      </c>
      <c r="H71" s="75">
        <f>E71*4+F71*9+G71*4</f>
        <v>85.60000000000001</v>
      </c>
      <c r="I71" s="192">
        <v>0.4</v>
      </c>
      <c r="J71" s="192" t="s">
        <v>351</v>
      </c>
      <c r="L71" s="28"/>
      <c r="N71" s="94" t="s">
        <v>27</v>
      </c>
      <c r="O71" s="92">
        <v>8</v>
      </c>
      <c r="P71" s="92">
        <v>8</v>
      </c>
      <c r="Q71" s="118"/>
      <c r="R71" s="119"/>
      <c r="S71" s="119"/>
      <c r="T71" s="119"/>
      <c r="U71" s="120"/>
      <c r="V71" s="193"/>
    </row>
    <row r="72" spans="1:22" ht="24.75" customHeight="1">
      <c r="A72" s="285" t="s">
        <v>43</v>
      </c>
      <c r="B72" s="286">
        <v>25</v>
      </c>
      <c r="C72" s="286">
        <v>25</v>
      </c>
      <c r="D72" s="286"/>
      <c r="E72" s="287"/>
      <c r="F72" s="287"/>
      <c r="G72" s="287"/>
      <c r="H72" s="290"/>
      <c r="I72" s="288"/>
      <c r="J72" s="288"/>
      <c r="L72" s="28"/>
      <c r="N72" s="94" t="s">
        <v>68</v>
      </c>
      <c r="O72" s="73">
        <f>P72*1.35</f>
        <v>4.050000000000001</v>
      </c>
      <c r="P72" s="92">
        <v>3</v>
      </c>
      <c r="Q72" s="92"/>
      <c r="R72" s="149"/>
      <c r="S72" s="102"/>
      <c r="T72" s="102"/>
      <c r="U72" s="73"/>
      <c r="V72" s="190"/>
    </row>
    <row r="73" spans="1:14" ht="24.75" customHeight="1">
      <c r="A73" s="285" t="s">
        <v>12</v>
      </c>
      <c r="B73" s="286">
        <v>10</v>
      </c>
      <c r="C73" s="286">
        <v>10</v>
      </c>
      <c r="D73" s="286"/>
      <c r="E73" s="287"/>
      <c r="F73" s="287"/>
      <c r="G73" s="287"/>
      <c r="H73" s="287"/>
      <c r="I73" s="288"/>
      <c r="J73" s="287"/>
      <c r="K73" s="121"/>
      <c r="L73" s="28"/>
      <c r="N73" s="84"/>
    </row>
    <row r="74" spans="1:36" s="18" customFormat="1" ht="24.75" customHeight="1">
      <c r="A74" s="501" t="s">
        <v>267</v>
      </c>
      <c r="B74" s="501"/>
      <c r="C74" s="501"/>
      <c r="D74" s="113">
        <v>80</v>
      </c>
      <c r="E74" s="36">
        <v>6.6</v>
      </c>
      <c r="F74" s="36">
        <v>1.1</v>
      </c>
      <c r="G74" s="36">
        <v>30.4</v>
      </c>
      <c r="H74" s="75">
        <v>158</v>
      </c>
      <c r="I74" s="192">
        <v>0</v>
      </c>
      <c r="J74" s="192"/>
      <c r="K74" s="64"/>
      <c r="L74" s="28"/>
      <c r="M74" s="82"/>
      <c r="N74" s="8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1:36" s="18" customFormat="1" ht="24.75" customHeight="1">
      <c r="A75" s="506" t="s">
        <v>70</v>
      </c>
      <c r="B75" s="506"/>
      <c r="C75" s="506"/>
      <c r="D75" s="227">
        <v>60</v>
      </c>
      <c r="E75" s="201">
        <v>4</v>
      </c>
      <c r="F75" s="201">
        <v>0.7</v>
      </c>
      <c r="G75" s="201">
        <v>20</v>
      </c>
      <c r="H75" s="202">
        <v>102</v>
      </c>
      <c r="I75" s="263">
        <v>0</v>
      </c>
      <c r="J75" s="263"/>
      <c r="K75" s="64"/>
      <c r="L75" s="28"/>
      <c r="M75" s="82"/>
      <c r="N75" s="8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</row>
    <row r="76" spans="1:36" s="18" customFormat="1" ht="24.75" customHeight="1">
      <c r="A76" s="510" t="s">
        <v>59</v>
      </c>
      <c r="B76" s="510"/>
      <c r="C76" s="510"/>
      <c r="D76" s="510"/>
      <c r="E76" s="36">
        <f>SUM(E77:E87)</f>
        <v>5.633333333333334</v>
      </c>
      <c r="F76" s="36">
        <f>SUM(F77:F87)</f>
        <v>5.9</v>
      </c>
      <c r="G76" s="36">
        <f>SUM(G77:G87)</f>
        <v>44</v>
      </c>
      <c r="H76" s="75">
        <f>SUM(H77:H87)</f>
        <v>251.63333333333335</v>
      </c>
      <c r="I76" s="192">
        <f>SUM(I77:I87)</f>
        <v>19</v>
      </c>
      <c r="J76" s="36"/>
      <c r="K76" s="64"/>
      <c r="L76" s="28"/>
      <c r="M76" s="82"/>
      <c r="N76" s="8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</row>
    <row r="77" spans="1:14" ht="24.75" customHeight="1">
      <c r="A77" s="517" t="s">
        <v>391</v>
      </c>
      <c r="B77" s="517"/>
      <c r="C77" s="517"/>
      <c r="D77" s="314">
        <v>100</v>
      </c>
      <c r="E77" s="36">
        <v>5.533333333333334</v>
      </c>
      <c r="F77" s="36">
        <v>5.9</v>
      </c>
      <c r="G77" s="36">
        <v>22</v>
      </c>
      <c r="H77" s="75">
        <f>E77*4+F77*9+G77*4</f>
        <v>163.23333333333335</v>
      </c>
      <c r="I77" s="315">
        <v>0</v>
      </c>
      <c r="J77" s="315" t="s">
        <v>334</v>
      </c>
      <c r="L77" s="28"/>
      <c r="N77" s="84"/>
    </row>
    <row r="78" spans="1:14" ht="24.75" customHeight="1">
      <c r="A78" s="316" t="s">
        <v>34</v>
      </c>
      <c r="B78" s="317">
        <v>69</v>
      </c>
      <c r="C78" s="317">
        <v>67</v>
      </c>
      <c r="D78" s="113"/>
      <c r="E78" s="36"/>
      <c r="F78" s="36"/>
      <c r="G78" s="36"/>
      <c r="H78" s="113"/>
      <c r="I78" s="192"/>
      <c r="J78" s="318"/>
      <c r="L78" s="28"/>
      <c r="N78" s="84"/>
    </row>
    <row r="79" spans="1:36" s="18" customFormat="1" ht="24.75" customHeight="1">
      <c r="A79" s="316" t="s">
        <v>35</v>
      </c>
      <c r="B79" s="317">
        <v>4</v>
      </c>
      <c r="C79" s="317">
        <v>4</v>
      </c>
      <c r="D79" s="113"/>
      <c r="E79" s="36"/>
      <c r="F79" s="36"/>
      <c r="G79" s="36"/>
      <c r="H79" s="75"/>
      <c r="I79" s="318"/>
      <c r="J79" s="318"/>
      <c r="K79" s="64"/>
      <c r="L79" s="28"/>
      <c r="M79" s="82"/>
      <c r="N79" s="8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</row>
    <row r="80" spans="1:36" s="18" customFormat="1" ht="24.75" customHeight="1">
      <c r="A80" s="269" t="s">
        <v>29</v>
      </c>
      <c r="B80" s="317">
        <v>14</v>
      </c>
      <c r="C80" s="317">
        <v>14</v>
      </c>
      <c r="D80" s="113"/>
      <c r="E80" s="36"/>
      <c r="F80" s="271"/>
      <c r="G80" s="271"/>
      <c r="H80" s="271"/>
      <c r="I80" s="318"/>
      <c r="J80" s="318"/>
      <c r="K80" s="64"/>
      <c r="L80" s="28"/>
      <c r="M80" s="82"/>
      <c r="N80" s="8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14" ht="24.75" customHeight="1">
      <c r="A81" s="316" t="s">
        <v>12</v>
      </c>
      <c r="B81" s="317">
        <v>7</v>
      </c>
      <c r="C81" s="317">
        <v>7</v>
      </c>
      <c r="D81" s="113"/>
      <c r="E81" s="36"/>
      <c r="F81" s="271"/>
      <c r="G81" s="271"/>
      <c r="H81" s="271"/>
      <c r="I81" s="318"/>
      <c r="J81" s="318"/>
      <c r="L81" s="28"/>
      <c r="N81" s="84"/>
    </row>
    <row r="82" spans="1:36" s="18" customFormat="1" ht="24.75" customHeight="1">
      <c r="A82" s="316" t="s">
        <v>27</v>
      </c>
      <c r="B82" s="319">
        <v>1.3</v>
      </c>
      <c r="C82" s="319">
        <v>1.3</v>
      </c>
      <c r="D82" s="113"/>
      <c r="E82" s="36"/>
      <c r="F82" s="271"/>
      <c r="G82" s="271"/>
      <c r="H82" s="271"/>
      <c r="I82" s="318"/>
      <c r="J82" s="318"/>
      <c r="K82" s="64"/>
      <c r="L82" s="28"/>
      <c r="M82" s="82"/>
      <c r="N82" s="8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</row>
    <row r="83" spans="1:36" s="18" customFormat="1" ht="24.75" customHeight="1">
      <c r="A83" s="320" t="s">
        <v>392</v>
      </c>
      <c r="B83" s="317"/>
      <c r="C83" s="317"/>
      <c r="D83" s="113"/>
      <c r="E83" s="36"/>
      <c r="F83" s="271"/>
      <c r="G83" s="271"/>
      <c r="H83" s="271"/>
      <c r="I83" s="318"/>
      <c r="J83" s="318"/>
      <c r="K83" s="64"/>
      <c r="L83" s="28"/>
      <c r="M83" s="82"/>
      <c r="N83" s="8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</row>
    <row r="84" spans="1:14" ht="24.75" customHeight="1">
      <c r="A84" s="316" t="s">
        <v>27</v>
      </c>
      <c r="B84" s="317">
        <v>7</v>
      </c>
      <c r="C84" s="317">
        <v>7</v>
      </c>
      <c r="D84" s="113"/>
      <c r="E84" s="36"/>
      <c r="F84" s="271"/>
      <c r="G84" s="271"/>
      <c r="H84" s="271"/>
      <c r="I84" s="318"/>
      <c r="J84" s="318"/>
      <c r="L84" s="28"/>
      <c r="N84" s="84"/>
    </row>
    <row r="85" spans="1:14" ht="24.75" customHeight="1">
      <c r="A85" s="269" t="s">
        <v>28</v>
      </c>
      <c r="B85" s="272">
        <v>7</v>
      </c>
      <c r="C85" s="272">
        <v>7</v>
      </c>
      <c r="D85" s="113"/>
      <c r="E85" s="36"/>
      <c r="F85" s="271"/>
      <c r="G85" s="271"/>
      <c r="H85" s="271"/>
      <c r="I85" s="318"/>
      <c r="J85" s="318"/>
      <c r="L85" s="28"/>
      <c r="N85" s="84"/>
    </row>
    <row r="86" spans="1:14" ht="24.75" customHeight="1">
      <c r="A86" s="316" t="s">
        <v>12</v>
      </c>
      <c r="B86" s="321">
        <v>4</v>
      </c>
      <c r="C86" s="321">
        <v>4</v>
      </c>
      <c r="D86" s="113"/>
      <c r="E86" s="36"/>
      <c r="F86" s="36"/>
      <c r="G86" s="36"/>
      <c r="H86" s="113"/>
      <c r="I86" s="318"/>
      <c r="J86" s="318"/>
      <c r="L86" s="28"/>
      <c r="N86" s="84"/>
    </row>
    <row r="87" spans="1:14" ht="79.5" customHeight="1">
      <c r="A87" s="483" t="s">
        <v>487</v>
      </c>
      <c r="B87" s="483"/>
      <c r="C87" s="483"/>
      <c r="D87" s="227">
        <v>200</v>
      </c>
      <c r="E87" s="201">
        <v>0.1</v>
      </c>
      <c r="F87" s="201">
        <v>0</v>
      </c>
      <c r="G87" s="201">
        <v>22</v>
      </c>
      <c r="H87" s="202">
        <f>E87*4+F87*9+G87*4</f>
        <v>88.4</v>
      </c>
      <c r="I87" s="263">
        <v>19</v>
      </c>
      <c r="J87" s="292" t="s">
        <v>486</v>
      </c>
      <c r="L87" s="28"/>
      <c r="N87" s="84"/>
    </row>
    <row r="88" spans="1:36" s="18" customFormat="1" ht="24.75" customHeight="1">
      <c r="A88" s="510" t="s">
        <v>30</v>
      </c>
      <c r="B88" s="510"/>
      <c r="C88" s="510"/>
      <c r="D88" s="510"/>
      <c r="E88" s="192">
        <f>E89+E111+E120+E123+E124+E126</f>
        <v>23.7</v>
      </c>
      <c r="F88" s="192">
        <f>F89+F111+F120+F123+F124+F126</f>
        <v>20.8</v>
      </c>
      <c r="G88" s="192">
        <f>G89+G111+G120+G123+G124+G126</f>
        <v>87.2</v>
      </c>
      <c r="H88" s="36">
        <f>H89+H111+H120+H123+H124+H126</f>
        <v>690.4</v>
      </c>
      <c r="I88" s="192">
        <f>I89+I111+I120+I123+I124+I126</f>
        <v>14.920000000000002</v>
      </c>
      <c r="J88" s="36"/>
      <c r="K88" s="64"/>
      <c r="L88" s="28"/>
      <c r="M88" s="82"/>
      <c r="N88" s="8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1:14" ht="24.75" customHeight="1">
      <c r="A89" s="501" t="s">
        <v>201</v>
      </c>
      <c r="B89" s="501"/>
      <c r="C89" s="501"/>
      <c r="D89" s="278" t="s">
        <v>239</v>
      </c>
      <c r="E89" s="292">
        <v>9.5</v>
      </c>
      <c r="F89" s="292">
        <v>10.1</v>
      </c>
      <c r="G89" s="292">
        <v>14</v>
      </c>
      <c r="H89" s="323">
        <f>E89*4+F89*9+G89*4</f>
        <v>184.89999999999998</v>
      </c>
      <c r="I89" s="263">
        <v>0.31</v>
      </c>
      <c r="J89" s="263" t="s">
        <v>334</v>
      </c>
      <c r="L89" s="28"/>
      <c r="N89" s="84"/>
    </row>
    <row r="90" spans="1:36" s="18" customFormat="1" ht="24.75" customHeight="1">
      <c r="A90" s="324" t="s">
        <v>300</v>
      </c>
      <c r="B90" s="325">
        <f>C90*1.34</f>
        <v>150.08</v>
      </c>
      <c r="C90" s="286">
        <v>112</v>
      </c>
      <c r="D90" s="290"/>
      <c r="E90" s="287"/>
      <c r="F90" s="287"/>
      <c r="G90" s="287"/>
      <c r="H90" s="287"/>
      <c r="I90" s="288"/>
      <c r="J90" s="290"/>
      <c r="K90" s="64"/>
      <c r="L90" s="28"/>
      <c r="M90" s="82"/>
      <c r="N90" s="8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</row>
    <row r="91" spans="1:36" s="18" customFormat="1" ht="24.75" customHeight="1">
      <c r="A91" s="326" t="s">
        <v>233</v>
      </c>
      <c r="B91" s="301">
        <v>96</v>
      </c>
      <c r="C91" s="286">
        <v>112</v>
      </c>
      <c r="D91" s="290"/>
      <c r="E91" s="292"/>
      <c r="F91" s="292"/>
      <c r="G91" s="292"/>
      <c r="H91" s="323"/>
      <c r="I91" s="263"/>
      <c r="J91" s="263"/>
      <c r="K91" s="64"/>
      <c r="L91" s="28"/>
      <c r="M91" s="82"/>
      <c r="N91" s="8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</row>
    <row r="92" spans="1:14" ht="24.75" customHeight="1">
      <c r="A92" s="285" t="s">
        <v>36</v>
      </c>
      <c r="B92" s="290">
        <v>12</v>
      </c>
      <c r="C92" s="290">
        <v>12</v>
      </c>
      <c r="D92" s="290"/>
      <c r="E92" s="287"/>
      <c r="F92" s="287"/>
      <c r="G92" s="287"/>
      <c r="H92" s="290"/>
      <c r="I92" s="288"/>
      <c r="J92" s="288"/>
      <c r="L92" s="28"/>
      <c r="N92" s="84"/>
    </row>
    <row r="93" spans="1:36" s="18" customFormat="1" ht="18" customHeight="1">
      <c r="A93" s="285" t="s">
        <v>50</v>
      </c>
      <c r="B93" s="286">
        <v>15</v>
      </c>
      <c r="C93" s="286">
        <v>15</v>
      </c>
      <c r="D93" s="290"/>
      <c r="E93" s="287"/>
      <c r="F93" s="287"/>
      <c r="G93" s="287"/>
      <c r="H93" s="290"/>
      <c r="I93" s="288"/>
      <c r="J93" s="288"/>
      <c r="K93" s="64"/>
      <c r="L93" s="28"/>
      <c r="M93" s="82"/>
      <c r="N93" s="8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</row>
    <row r="94" spans="1:36" s="18" customFormat="1" ht="21" customHeight="1">
      <c r="A94" s="327" t="s">
        <v>196</v>
      </c>
      <c r="B94" s="281">
        <v>9</v>
      </c>
      <c r="C94" s="281">
        <v>9</v>
      </c>
      <c r="D94" s="305"/>
      <c r="E94" s="283"/>
      <c r="F94" s="283"/>
      <c r="G94" s="283"/>
      <c r="H94" s="305"/>
      <c r="I94" s="284"/>
      <c r="J94" s="284"/>
      <c r="K94" s="64"/>
      <c r="L94" s="28"/>
      <c r="M94" s="82"/>
      <c r="N94" s="8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</row>
    <row r="95" spans="1:36" s="18" customFormat="1" ht="17.25" customHeight="1">
      <c r="A95" s="269" t="s">
        <v>29</v>
      </c>
      <c r="B95" s="286">
        <v>11</v>
      </c>
      <c r="C95" s="286">
        <v>11</v>
      </c>
      <c r="D95" s="290"/>
      <c r="E95" s="287"/>
      <c r="F95" s="287"/>
      <c r="G95" s="287"/>
      <c r="H95" s="290"/>
      <c r="I95" s="288"/>
      <c r="J95" s="288"/>
      <c r="K95" s="64"/>
      <c r="L95" s="28"/>
      <c r="M95" s="82"/>
      <c r="N95" s="8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</row>
    <row r="96" spans="1:36" s="18" customFormat="1" ht="17.25" customHeight="1">
      <c r="A96" s="285" t="s">
        <v>28</v>
      </c>
      <c r="B96" s="286">
        <v>13</v>
      </c>
      <c r="C96" s="286">
        <v>13</v>
      </c>
      <c r="D96" s="290"/>
      <c r="E96" s="287"/>
      <c r="F96" s="287"/>
      <c r="G96" s="287"/>
      <c r="H96" s="290"/>
      <c r="I96" s="288"/>
      <c r="J96" s="288"/>
      <c r="K96" s="64"/>
      <c r="L96" s="28"/>
      <c r="M96" s="82"/>
      <c r="N96" s="8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</row>
    <row r="97" spans="1:14" ht="24.75" customHeight="1">
      <c r="A97" s="285" t="s">
        <v>20</v>
      </c>
      <c r="B97" s="286">
        <v>8</v>
      </c>
      <c r="C97" s="286">
        <v>8</v>
      </c>
      <c r="D97" s="290"/>
      <c r="E97" s="287"/>
      <c r="F97" s="287"/>
      <c r="G97" s="287"/>
      <c r="H97" s="290"/>
      <c r="I97" s="288"/>
      <c r="J97" s="288"/>
      <c r="L97" s="28"/>
      <c r="N97" s="84"/>
    </row>
    <row r="98" spans="1:36" s="18" customFormat="1" ht="24.75" customHeight="1">
      <c r="A98" s="285" t="s">
        <v>27</v>
      </c>
      <c r="B98" s="286">
        <v>5</v>
      </c>
      <c r="C98" s="286">
        <v>5</v>
      </c>
      <c r="D98" s="286"/>
      <c r="E98" s="287"/>
      <c r="F98" s="287"/>
      <c r="G98" s="287"/>
      <c r="H98" s="290"/>
      <c r="I98" s="288"/>
      <c r="J98" s="288"/>
      <c r="K98" s="64"/>
      <c r="L98" s="28"/>
      <c r="M98" s="82"/>
      <c r="N98" s="8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</row>
    <row r="99" spans="1:36" s="18" customFormat="1" ht="24.75" customHeight="1">
      <c r="A99" s="537" t="s">
        <v>253</v>
      </c>
      <c r="B99" s="537"/>
      <c r="C99" s="537"/>
      <c r="D99" s="537"/>
      <c r="E99" s="537"/>
      <c r="F99" s="537"/>
      <c r="G99" s="537"/>
      <c r="H99" s="537"/>
      <c r="I99" s="537"/>
      <c r="J99" s="537"/>
      <c r="K99" s="64"/>
      <c r="L99" s="28"/>
      <c r="M99" s="82"/>
      <c r="N99" s="8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</row>
    <row r="100" spans="1:36" s="18" customFormat="1" ht="24.75" customHeight="1">
      <c r="A100" s="501" t="s">
        <v>299</v>
      </c>
      <c r="B100" s="501"/>
      <c r="C100" s="501"/>
      <c r="D100" s="278" t="s">
        <v>239</v>
      </c>
      <c r="E100" s="279">
        <v>12.1</v>
      </c>
      <c r="F100" s="279">
        <v>10.2</v>
      </c>
      <c r="G100" s="279">
        <v>7.1</v>
      </c>
      <c r="H100" s="202">
        <f>E100*4+F100*9+G100*4</f>
        <v>168.6</v>
      </c>
      <c r="I100" s="263">
        <v>0.5</v>
      </c>
      <c r="J100" s="263" t="s">
        <v>334</v>
      </c>
      <c r="K100" s="64"/>
      <c r="L100" s="29"/>
      <c r="M100" s="82"/>
      <c r="N100" s="101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</row>
    <row r="101" spans="1:36" s="18" customFormat="1" ht="24.75" customHeight="1">
      <c r="A101" s="285" t="s">
        <v>25</v>
      </c>
      <c r="B101" s="287">
        <f>C101*1.25</f>
        <v>12.5</v>
      </c>
      <c r="C101" s="286">
        <v>10</v>
      </c>
      <c r="D101" s="286"/>
      <c r="E101" s="287"/>
      <c r="F101" s="287"/>
      <c r="G101" s="287"/>
      <c r="H101" s="287"/>
      <c r="I101" s="288"/>
      <c r="J101" s="287"/>
      <c r="K101" s="64"/>
      <c r="L101" s="29"/>
      <c r="M101" s="82"/>
      <c r="N101" s="101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</row>
    <row r="102" spans="1:36" s="18" customFormat="1" ht="24.75" customHeight="1">
      <c r="A102" s="285" t="s">
        <v>19</v>
      </c>
      <c r="B102" s="287">
        <f>C102*1.33</f>
        <v>13.3</v>
      </c>
      <c r="C102" s="286">
        <v>10</v>
      </c>
      <c r="D102" s="286"/>
      <c r="E102" s="287"/>
      <c r="F102" s="287"/>
      <c r="G102" s="287"/>
      <c r="H102" s="290"/>
      <c r="I102" s="288"/>
      <c r="J102" s="288"/>
      <c r="K102" s="64"/>
      <c r="L102" s="29"/>
      <c r="M102" s="82"/>
      <c r="N102" s="101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1:36" s="3" customFormat="1" ht="24.75" customHeight="1">
      <c r="A103" s="285" t="s">
        <v>108</v>
      </c>
      <c r="B103" s="290">
        <v>13</v>
      </c>
      <c r="C103" s="286">
        <v>13</v>
      </c>
      <c r="D103" s="286"/>
      <c r="E103" s="287"/>
      <c r="F103" s="287"/>
      <c r="G103" s="287"/>
      <c r="H103" s="290"/>
      <c r="I103" s="288"/>
      <c r="J103" s="288"/>
      <c r="K103" s="64"/>
      <c r="L103" s="29"/>
      <c r="M103" s="82"/>
      <c r="N103" s="62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s="18" customFormat="1" ht="24.75" customHeight="1">
      <c r="A104" s="324" t="s">
        <v>300</v>
      </c>
      <c r="B104" s="325">
        <f>C104*1.34</f>
        <v>163.48000000000002</v>
      </c>
      <c r="C104" s="167">
        <v>122</v>
      </c>
      <c r="D104" s="286"/>
      <c r="E104" s="287"/>
      <c r="F104" s="287"/>
      <c r="G104" s="287"/>
      <c r="H104" s="290"/>
      <c r="I104" s="288"/>
      <c r="J104" s="288"/>
      <c r="K104" s="64"/>
      <c r="L104" s="29"/>
      <c r="M104" s="82"/>
      <c r="N104" s="8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</row>
    <row r="105" spans="1:36" s="3" customFormat="1" ht="24.75" customHeight="1">
      <c r="A105" s="324" t="s">
        <v>233</v>
      </c>
      <c r="B105" s="328">
        <v>122</v>
      </c>
      <c r="C105" s="167">
        <v>122</v>
      </c>
      <c r="D105" s="286"/>
      <c r="E105" s="292"/>
      <c r="F105" s="292"/>
      <c r="G105" s="292"/>
      <c r="H105" s="323"/>
      <c r="I105" s="263"/>
      <c r="J105" s="263"/>
      <c r="K105" s="64"/>
      <c r="L105" s="29"/>
      <c r="M105" s="82"/>
      <c r="N105" s="62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s="18" customFormat="1" ht="24.75" customHeight="1">
      <c r="A106" s="304" t="s">
        <v>569</v>
      </c>
      <c r="B106" s="281">
        <v>20</v>
      </c>
      <c r="C106" s="281">
        <v>20</v>
      </c>
      <c r="D106" s="281"/>
      <c r="E106" s="283"/>
      <c r="F106" s="283"/>
      <c r="G106" s="283"/>
      <c r="H106" s="305"/>
      <c r="I106" s="284"/>
      <c r="J106" s="284"/>
      <c r="K106" s="14"/>
      <c r="L106" s="29"/>
      <c r="M106" s="78"/>
      <c r="N106" s="8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</row>
    <row r="107" spans="1:36" s="18" customFormat="1" ht="24.75" customHeight="1">
      <c r="A107" s="269" t="s">
        <v>29</v>
      </c>
      <c r="B107" s="286">
        <v>5</v>
      </c>
      <c r="C107" s="286">
        <v>5</v>
      </c>
      <c r="D107" s="286"/>
      <c r="E107" s="287"/>
      <c r="F107" s="287"/>
      <c r="G107" s="287"/>
      <c r="H107" s="290"/>
      <c r="I107" s="288"/>
      <c r="J107" s="288"/>
      <c r="K107" s="14"/>
      <c r="L107" s="29"/>
      <c r="M107" s="78"/>
      <c r="N107" s="8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</row>
    <row r="108" spans="1:36" s="18" customFormat="1" ht="24.75" customHeight="1">
      <c r="A108" s="285" t="s">
        <v>28</v>
      </c>
      <c r="B108" s="286">
        <v>8</v>
      </c>
      <c r="C108" s="286">
        <v>8</v>
      </c>
      <c r="D108" s="286"/>
      <c r="E108" s="287"/>
      <c r="F108" s="287"/>
      <c r="G108" s="287"/>
      <c r="H108" s="290"/>
      <c r="I108" s="288"/>
      <c r="J108" s="288"/>
      <c r="K108" s="88"/>
      <c r="L108" s="29"/>
      <c r="M108" s="78"/>
      <c r="N108" s="7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spans="1:36" s="18" customFormat="1" ht="24.75" customHeight="1">
      <c r="A109" s="285" t="s">
        <v>20</v>
      </c>
      <c r="B109" s="286">
        <v>8</v>
      </c>
      <c r="C109" s="286">
        <v>8</v>
      </c>
      <c r="D109" s="286"/>
      <c r="E109" s="287"/>
      <c r="F109" s="287"/>
      <c r="G109" s="287"/>
      <c r="H109" s="290"/>
      <c r="I109" s="288"/>
      <c r="J109" s="288"/>
      <c r="K109" s="14"/>
      <c r="L109" s="29"/>
      <c r="M109" s="78"/>
      <c r="N109" s="7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</row>
    <row r="110" spans="1:36" s="18" customFormat="1" ht="24.75" customHeight="1">
      <c r="A110" s="285" t="s">
        <v>27</v>
      </c>
      <c r="B110" s="286">
        <v>5</v>
      </c>
      <c r="C110" s="286">
        <v>5</v>
      </c>
      <c r="D110" s="286"/>
      <c r="E110" s="287"/>
      <c r="F110" s="287"/>
      <c r="G110" s="287"/>
      <c r="H110" s="290"/>
      <c r="I110" s="288"/>
      <c r="J110" s="288"/>
      <c r="K110" s="14"/>
      <c r="L110" s="29"/>
      <c r="M110" s="78"/>
      <c r="N110" s="7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</row>
    <row r="111" spans="1:36" s="18" customFormat="1" ht="24.75" customHeight="1">
      <c r="A111" s="511" t="s">
        <v>266</v>
      </c>
      <c r="B111" s="511"/>
      <c r="C111" s="511"/>
      <c r="D111" s="113">
        <v>200</v>
      </c>
      <c r="E111" s="36">
        <v>3.9</v>
      </c>
      <c r="F111" s="36">
        <v>4.9</v>
      </c>
      <c r="G111" s="36">
        <v>21.1</v>
      </c>
      <c r="H111" s="323">
        <f>E111*4+F111*9+G111*4</f>
        <v>144.10000000000002</v>
      </c>
      <c r="I111" s="263">
        <v>13.24</v>
      </c>
      <c r="J111" s="263" t="s">
        <v>334</v>
      </c>
      <c r="K111" s="14"/>
      <c r="L111" s="29"/>
      <c r="M111" s="78"/>
      <c r="N111" s="7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</row>
    <row r="112" spans="1:36" s="18" customFormat="1" ht="24.75" customHeight="1">
      <c r="A112" s="280" t="s">
        <v>21</v>
      </c>
      <c r="B112" s="305">
        <f>C112*1.33</f>
        <v>172.9</v>
      </c>
      <c r="C112" s="290">
        <v>130</v>
      </c>
      <c r="D112" s="281"/>
      <c r="E112" s="283"/>
      <c r="F112" s="283"/>
      <c r="G112" s="283"/>
      <c r="H112" s="281"/>
      <c r="I112" s="284"/>
      <c r="J112" s="284"/>
      <c r="K112" s="14"/>
      <c r="L112" s="29"/>
      <c r="M112" s="78"/>
      <c r="N112" s="10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</row>
    <row r="113" spans="1:36" s="18" customFormat="1" ht="24.75" customHeight="1">
      <c r="A113" s="285" t="s">
        <v>22</v>
      </c>
      <c r="B113" s="290">
        <f>C113*1.43</f>
        <v>185.9</v>
      </c>
      <c r="C113" s="290">
        <v>130</v>
      </c>
      <c r="D113" s="281"/>
      <c r="E113" s="287"/>
      <c r="F113" s="287"/>
      <c r="G113" s="287"/>
      <c r="H113" s="290"/>
      <c r="I113" s="288"/>
      <c r="J113" s="288"/>
      <c r="K113" s="14"/>
      <c r="L113" s="29"/>
      <c r="M113" s="78"/>
      <c r="N113" s="7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</row>
    <row r="114" spans="1:36" s="18" customFormat="1" ht="24.75" customHeight="1">
      <c r="A114" s="285" t="s">
        <v>23</v>
      </c>
      <c r="B114" s="290">
        <f>C114*1.54</f>
        <v>200.20000000000002</v>
      </c>
      <c r="C114" s="290">
        <v>130</v>
      </c>
      <c r="D114" s="281"/>
      <c r="E114" s="287"/>
      <c r="F114" s="287"/>
      <c r="G114" s="287"/>
      <c r="H114" s="290"/>
      <c r="I114" s="288"/>
      <c r="J114" s="288"/>
      <c r="K114" s="15"/>
      <c r="L114" s="29"/>
      <c r="M114" s="78"/>
      <c r="N114" s="10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</row>
    <row r="115" spans="1:36" s="18" customFormat="1" ht="24.75" customHeight="1">
      <c r="A115" s="285" t="s">
        <v>24</v>
      </c>
      <c r="B115" s="290">
        <f>C115*1.67</f>
        <v>217.1</v>
      </c>
      <c r="C115" s="290">
        <v>130</v>
      </c>
      <c r="D115" s="281"/>
      <c r="E115" s="287"/>
      <c r="F115" s="287"/>
      <c r="G115" s="287"/>
      <c r="H115" s="290"/>
      <c r="I115" s="288"/>
      <c r="J115" s="288"/>
      <c r="K115" s="10"/>
      <c r="L115" s="29"/>
      <c r="M115" s="78"/>
      <c r="N115" s="10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</row>
    <row r="116" spans="1:36" s="18" customFormat="1" ht="24.75" customHeight="1">
      <c r="A116" s="285" t="s">
        <v>27</v>
      </c>
      <c r="B116" s="290">
        <v>5</v>
      </c>
      <c r="C116" s="290">
        <v>5</v>
      </c>
      <c r="D116" s="281"/>
      <c r="E116" s="287"/>
      <c r="F116" s="287"/>
      <c r="G116" s="287"/>
      <c r="H116" s="290"/>
      <c r="I116" s="288"/>
      <c r="J116" s="288"/>
      <c r="K116" s="10"/>
      <c r="L116" s="29"/>
      <c r="M116" s="78"/>
      <c r="N116" s="7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</row>
    <row r="117" spans="1:14" ht="24.75" customHeight="1">
      <c r="A117" s="285" t="s">
        <v>50</v>
      </c>
      <c r="B117" s="290">
        <v>16</v>
      </c>
      <c r="C117" s="290">
        <v>15</v>
      </c>
      <c r="D117" s="281"/>
      <c r="E117" s="287"/>
      <c r="F117" s="287"/>
      <c r="G117" s="287"/>
      <c r="H117" s="290"/>
      <c r="I117" s="288"/>
      <c r="J117" s="288"/>
      <c r="K117" s="10"/>
      <c r="M117" s="78"/>
      <c r="N117" s="74"/>
    </row>
    <row r="118" spans="1:14" ht="24.75" customHeight="1">
      <c r="A118" s="316" t="s">
        <v>210</v>
      </c>
      <c r="B118" s="329">
        <f>C118*1.05</f>
        <v>63</v>
      </c>
      <c r="C118" s="330">
        <v>60</v>
      </c>
      <c r="D118" s="331"/>
      <c r="E118" s="36"/>
      <c r="F118" s="36"/>
      <c r="G118" s="36"/>
      <c r="H118" s="113"/>
      <c r="I118" s="192"/>
      <c r="J118" s="192"/>
      <c r="K118" s="14"/>
      <c r="M118" s="78"/>
      <c r="N118" s="74"/>
    </row>
    <row r="119" spans="1:14" ht="24.75" customHeight="1">
      <c r="A119" s="291" t="s">
        <v>211</v>
      </c>
      <c r="B119" s="290">
        <f>C119*1.02</f>
        <v>61.2</v>
      </c>
      <c r="C119" s="330">
        <v>60</v>
      </c>
      <c r="D119" s="331"/>
      <c r="E119" s="36"/>
      <c r="F119" s="36"/>
      <c r="G119" s="36"/>
      <c r="H119" s="113"/>
      <c r="I119" s="192"/>
      <c r="J119" s="192"/>
      <c r="K119" s="10"/>
      <c r="M119" s="78"/>
      <c r="N119" s="74"/>
    </row>
    <row r="120" spans="1:36" s="18" customFormat="1" ht="24.75" customHeight="1">
      <c r="A120" s="262" t="s">
        <v>247</v>
      </c>
      <c r="B120" s="270"/>
      <c r="C120" s="270"/>
      <c r="D120" s="113" t="s">
        <v>204</v>
      </c>
      <c r="E120" s="36">
        <v>0.3</v>
      </c>
      <c r="F120" s="36">
        <v>0</v>
      </c>
      <c r="G120" s="36">
        <v>16</v>
      </c>
      <c r="H120" s="75">
        <v>125</v>
      </c>
      <c r="I120" s="192">
        <v>0</v>
      </c>
      <c r="J120" s="192" t="s">
        <v>344</v>
      </c>
      <c r="K120" s="10"/>
      <c r="L120" s="29"/>
      <c r="M120" s="82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</row>
    <row r="121" spans="1:11" ht="24.75" customHeight="1">
      <c r="A121" s="269" t="s">
        <v>16</v>
      </c>
      <c r="B121" s="270">
        <v>0.4</v>
      </c>
      <c r="C121" s="270">
        <v>0.4</v>
      </c>
      <c r="D121" s="270"/>
      <c r="E121" s="271"/>
      <c r="F121" s="271"/>
      <c r="G121" s="271"/>
      <c r="H121" s="272"/>
      <c r="I121" s="273"/>
      <c r="J121" s="273"/>
      <c r="K121" s="10"/>
    </row>
    <row r="122" spans="1:36" s="18" customFormat="1" ht="24.75" customHeight="1">
      <c r="A122" s="269" t="s">
        <v>397</v>
      </c>
      <c r="B122" s="270">
        <v>20</v>
      </c>
      <c r="C122" s="270">
        <v>20</v>
      </c>
      <c r="D122" s="270"/>
      <c r="E122" s="271"/>
      <c r="F122" s="271"/>
      <c r="G122" s="271"/>
      <c r="H122" s="271"/>
      <c r="I122" s="273"/>
      <c r="J122" s="271"/>
      <c r="K122" s="10"/>
      <c r="L122" s="29"/>
      <c r="M122" s="82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</row>
    <row r="123" spans="1:36" s="18" customFormat="1" ht="24.75" customHeight="1">
      <c r="A123" s="506" t="s">
        <v>70</v>
      </c>
      <c r="B123" s="506"/>
      <c r="C123" s="506"/>
      <c r="D123" s="227">
        <v>50</v>
      </c>
      <c r="E123" s="201">
        <v>3.3</v>
      </c>
      <c r="F123" s="201">
        <v>0.6</v>
      </c>
      <c r="G123" s="201">
        <v>16.7</v>
      </c>
      <c r="H123" s="202">
        <f>E123*4+F123*9+G123*4</f>
        <v>85.39999999999999</v>
      </c>
      <c r="I123" s="263">
        <v>0</v>
      </c>
      <c r="J123" s="263"/>
      <c r="K123" s="100"/>
      <c r="L123" s="29"/>
      <c r="M123" s="82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</row>
    <row r="124" spans="1:11" ht="24.75" customHeight="1">
      <c r="A124" s="501" t="s">
        <v>267</v>
      </c>
      <c r="B124" s="501"/>
      <c r="C124" s="501"/>
      <c r="D124" s="113">
        <v>30</v>
      </c>
      <c r="E124" s="36">
        <v>2.5</v>
      </c>
      <c r="F124" s="36">
        <v>0.4</v>
      </c>
      <c r="G124" s="36">
        <v>11.4</v>
      </c>
      <c r="H124" s="75">
        <v>59</v>
      </c>
      <c r="I124" s="192">
        <v>0</v>
      </c>
      <c r="J124" s="192"/>
      <c r="K124" s="10"/>
    </row>
    <row r="125" spans="1:36" s="18" customFormat="1" ht="24.75" customHeight="1">
      <c r="A125" s="538" t="s">
        <v>220</v>
      </c>
      <c r="B125" s="538"/>
      <c r="C125" s="538"/>
      <c r="D125" s="538"/>
      <c r="E125" s="538"/>
      <c r="F125" s="538"/>
      <c r="G125" s="538"/>
      <c r="H125" s="538"/>
      <c r="I125" s="538"/>
      <c r="J125" s="538"/>
      <c r="K125" s="10"/>
      <c r="L125" s="29"/>
      <c r="M125" s="82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</row>
    <row r="126" spans="1:36" s="18" customFormat="1" ht="62.25" customHeight="1">
      <c r="A126" s="332" t="s">
        <v>246</v>
      </c>
      <c r="B126" s="265">
        <v>206</v>
      </c>
      <c r="C126" s="281">
        <v>200</v>
      </c>
      <c r="D126" s="227">
        <v>200</v>
      </c>
      <c r="E126" s="201">
        <v>4.2</v>
      </c>
      <c r="F126" s="201">
        <v>4.8</v>
      </c>
      <c r="G126" s="201">
        <v>8</v>
      </c>
      <c r="H126" s="202">
        <f>E126*4+F126*9+G126*4</f>
        <v>92</v>
      </c>
      <c r="I126" s="263">
        <v>1.37</v>
      </c>
      <c r="J126" s="263" t="s">
        <v>364</v>
      </c>
      <c r="K126" s="10"/>
      <c r="L126" s="29"/>
      <c r="M126" s="82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</row>
    <row r="127" spans="1:36" s="18" customFormat="1" ht="24.75" customHeight="1">
      <c r="A127" s="482" t="s">
        <v>140</v>
      </c>
      <c r="B127" s="482"/>
      <c r="C127" s="482"/>
      <c r="D127" s="482"/>
      <c r="E127" s="334">
        <f>E8+E31+E76+E88</f>
        <v>79.36666666666666</v>
      </c>
      <c r="F127" s="334">
        <f>F8+F31+F76+F88</f>
        <v>87.03333333333333</v>
      </c>
      <c r="G127" s="334">
        <f>G8+G31+G76+G88</f>
        <v>382.2</v>
      </c>
      <c r="H127" s="334">
        <f>H8+H31+H76+H88</f>
        <v>2689.1666666666665</v>
      </c>
      <c r="I127" s="334">
        <f>I8+I31+I76+I88</f>
        <v>72.06</v>
      </c>
      <c r="J127" s="334"/>
      <c r="K127" s="10"/>
      <c r="L127" s="29"/>
      <c r="M127" s="82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36" s="18" customFormat="1" ht="24.75" customHeight="1">
      <c r="A128" s="493" t="s">
        <v>0</v>
      </c>
      <c r="B128" s="493"/>
      <c r="C128" s="493"/>
      <c r="D128" s="493"/>
      <c r="E128" s="493"/>
      <c r="F128" s="493"/>
      <c r="G128" s="493"/>
      <c r="H128" s="493"/>
      <c r="I128" s="493"/>
      <c r="J128" s="493"/>
      <c r="K128" s="15"/>
      <c r="L128" s="29"/>
      <c r="M128" s="82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</row>
    <row r="129" spans="1:36" s="18" customFormat="1" ht="24.75" customHeight="1">
      <c r="A129" s="493" t="s">
        <v>33</v>
      </c>
      <c r="B129" s="493"/>
      <c r="C129" s="493"/>
      <c r="D129" s="493"/>
      <c r="E129" s="493"/>
      <c r="F129" s="493"/>
      <c r="G129" s="493"/>
      <c r="H129" s="493"/>
      <c r="I129" s="493"/>
      <c r="J129" s="493"/>
      <c r="K129" s="10"/>
      <c r="L129" s="29"/>
      <c r="M129" s="82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</row>
    <row r="130" spans="1:11" ht="24.75" customHeight="1">
      <c r="A130" s="498" t="s">
        <v>2</v>
      </c>
      <c r="B130" s="497" t="s">
        <v>3</v>
      </c>
      <c r="C130" s="497" t="s">
        <v>4</v>
      </c>
      <c r="D130" s="498" t="s">
        <v>5</v>
      </c>
      <c r="E130" s="498"/>
      <c r="F130" s="498"/>
      <c r="G130" s="498"/>
      <c r="H130" s="498"/>
      <c r="I130" s="498"/>
      <c r="J130" s="526" t="s">
        <v>302</v>
      </c>
      <c r="K130" s="41"/>
    </row>
    <row r="131" spans="1:14" ht="24.75" customHeight="1" thickBot="1">
      <c r="A131" s="498"/>
      <c r="B131" s="497"/>
      <c r="C131" s="497"/>
      <c r="D131" s="497" t="s">
        <v>6</v>
      </c>
      <c r="E131" s="485" t="s">
        <v>7</v>
      </c>
      <c r="F131" s="485" t="s">
        <v>8</v>
      </c>
      <c r="G131" s="485" t="s">
        <v>9</v>
      </c>
      <c r="H131" s="494" t="s">
        <v>10</v>
      </c>
      <c r="I131" s="527" t="s">
        <v>303</v>
      </c>
      <c r="J131" s="526"/>
      <c r="K131" s="41"/>
      <c r="L131" s="115" t="s">
        <v>33</v>
      </c>
      <c r="M131" s="78"/>
      <c r="N131" s="74"/>
    </row>
    <row r="132" spans="1:14" ht="24.75" customHeight="1">
      <c r="A132" s="498"/>
      <c r="B132" s="497"/>
      <c r="C132" s="497"/>
      <c r="D132" s="497"/>
      <c r="E132" s="485"/>
      <c r="F132" s="485"/>
      <c r="G132" s="485"/>
      <c r="H132" s="494"/>
      <c r="I132" s="527"/>
      <c r="J132" s="526"/>
      <c r="K132" s="10"/>
      <c r="L132" s="42" t="s">
        <v>70</v>
      </c>
      <c r="M132" s="78">
        <f>D241++D283</f>
        <v>80</v>
      </c>
      <c r="N132" s="74"/>
    </row>
    <row r="133" spans="1:14" ht="24.75" customHeight="1">
      <c r="A133" s="510" t="s">
        <v>11</v>
      </c>
      <c r="B133" s="510"/>
      <c r="C133" s="510"/>
      <c r="D133" s="510"/>
      <c r="E133" s="36">
        <f>E134+E158+E162+E165+E166+E168</f>
        <v>21.34</v>
      </c>
      <c r="F133" s="36">
        <f>F134+F158+F162+F165+F166+F168</f>
        <v>24.38</v>
      </c>
      <c r="G133" s="36">
        <f>G134+G158+G162+G165+G166+G168</f>
        <v>91.39999999999999</v>
      </c>
      <c r="H133" s="75">
        <f>H134+H158+H162+H165+H166+H168</f>
        <v>670.3800000000001</v>
      </c>
      <c r="I133" s="192">
        <f>I134+I158+I162+I165+I166+I168</f>
        <v>12.8</v>
      </c>
      <c r="J133" s="36"/>
      <c r="K133" s="10"/>
      <c r="L133" s="25" t="s">
        <v>80</v>
      </c>
      <c r="M133" s="78">
        <f>D240+D284+B142+D166+B163+B230+B233</f>
        <v>158.28571428571428</v>
      </c>
      <c r="N133" s="74">
        <f>B142+D240+D284+D166</f>
        <v>122.28571428571428</v>
      </c>
    </row>
    <row r="134" spans="1:14" ht="24.75" customHeight="1">
      <c r="A134" s="501" t="s">
        <v>395</v>
      </c>
      <c r="B134" s="501"/>
      <c r="C134" s="501"/>
      <c r="D134" s="113" t="s">
        <v>248</v>
      </c>
      <c r="E134" s="201">
        <v>10.5</v>
      </c>
      <c r="F134" s="201">
        <v>10.2</v>
      </c>
      <c r="G134" s="201">
        <v>32.3</v>
      </c>
      <c r="H134" s="202">
        <f>E134*4+F134*9+G134*4</f>
        <v>263</v>
      </c>
      <c r="I134" s="263">
        <v>0.3</v>
      </c>
      <c r="J134" s="263" t="s">
        <v>471</v>
      </c>
      <c r="K134" s="10"/>
      <c r="L134" s="25" t="s">
        <v>81</v>
      </c>
      <c r="M134" s="78">
        <f>B245</f>
        <v>37.50000000000001</v>
      </c>
      <c r="N134" s="74"/>
    </row>
    <row r="135" spans="1:36" s="18" customFormat="1" ht="24.75" customHeight="1">
      <c r="A135" s="269" t="s">
        <v>34</v>
      </c>
      <c r="B135" s="272">
        <v>77</v>
      </c>
      <c r="C135" s="272">
        <v>75</v>
      </c>
      <c r="D135" s="272"/>
      <c r="E135" s="272"/>
      <c r="F135" s="271"/>
      <c r="G135" s="271"/>
      <c r="H135" s="271"/>
      <c r="I135" s="273"/>
      <c r="J135" s="271"/>
      <c r="K135" s="10"/>
      <c r="L135" s="26" t="s">
        <v>123</v>
      </c>
      <c r="M135" s="78">
        <f>B136</f>
        <v>6</v>
      </c>
      <c r="N135" s="7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</row>
    <row r="136" spans="1:14" ht="24.75" customHeight="1">
      <c r="A136" s="269" t="s">
        <v>35</v>
      </c>
      <c r="B136" s="272">
        <v>6</v>
      </c>
      <c r="C136" s="272">
        <v>6</v>
      </c>
      <c r="D136" s="272"/>
      <c r="E136" s="271"/>
      <c r="F136" s="271"/>
      <c r="G136" s="271"/>
      <c r="H136" s="271"/>
      <c r="I136" s="273"/>
      <c r="J136" s="271"/>
      <c r="K136" s="21"/>
      <c r="L136" s="26" t="s">
        <v>320</v>
      </c>
      <c r="M136" s="78">
        <f>B235</f>
        <v>70</v>
      </c>
      <c r="N136" s="74"/>
    </row>
    <row r="137" spans="1:14" ht="24.75" customHeight="1">
      <c r="A137" s="269" t="s">
        <v>170</v>
      </c>
      <c r="B137" s="272">
        <v>7</v>
      </c>
      <c r="C137" s="272">
        <v>7</v>
      </c>
      <c r="D137" s="272"/>
      <c r="E137" s="271"/>
      <c r="F137" s="271"/>
      <c r="G137" s="271"/>
      <c r="H137" s="270"/>
      <c r="I137" s="273"/>
      <c r="J137" s="273"/>
      <c r="K137" s="163"/>
      <c r="L137" s="25" t="s">
        <v>137</v>
      </c>
      <c r="M137" s="79">
        <f>B179+B271</f>
        <v>198.17000000000002</v>
      </c>
      <c r="N137" s="74"/>
    </row>
    <row r="138" spans="1:14" ht="24.75" customHeight="1">
      <c r="A138" s="285" t="s">
        <v>12</v>
      </c>
      <c r="B138" s="272">
        <v>5</v>
      </c>
      <c r="C138" s="272">
        <v>5</v>
      </c>
      <c r="D138" s="272"/>
      <c r="E138" s="271"/>
      <c r="F138" s="271"/>
      <c r="G138" s="271"/>
      <c r="H138" s="270"/>
      <c r="I138" s="273"/>
      <c r="J138" s="273"/>
      <c r="K138" s="21"/>
      <c r="L138" s="25" t="s">
        <v>82</v>
      </c>
      <c r="M138" s="79">
        <f>B172++B183+B185+B190+B264+B228+B178+B176+B186+B279</f>
        <v>297.39</v>
      </c>
      <c r="N138" s="74"/>
    </row>
    <row r="139" spans="1:14" ht="24.75" customHeight="1">
      <c r="A139" s="269" t="s">
        <v>29</v>
      </c>
      <c r="B139" s="167">
        <v>4</v>
      </c>
      <c r="C139" s="167">
        <v>4</v>
      </c>
      <c r="D139" s="167"/>
      <c r="E139" s="266"/>
      <c r="F139" s="266"/>
      <c r="G139" s="266"/>
      <c r="H139" s="265"/>
      <c r="I139" s="267"/>
      <c r="J139" s="267"/>
      <c r="K139" s="21"/>
      <c r="L139" s="25" t="s">
        <v>83</v>
      </c>
      <c r="M139" s="79">
        <f>+B254+D168</f>
        <v>228.62</v>
      </c>
      <c r="N139" s="74"/>
    </row>
    <row r="140" spans="1:14" s="7" customFormat="1" ht="24.75" customHeight="1">
      <c r="A140" s="269" t="s">
        <v>65</v>
      </c>
      <c r="B140" s="271">
        <v>15.2</v>
      </c>
      <c r="C140" s="272">
        <v>15</v>
      </c>
      <c r="D140" s="272"/>
      <c r="E140" s="271"/>
      <c r="F140" s="271"/>
      <c r="G140" s="271"/>
      <c r="H140" s="272"/>
      <c r="I140" s="273"/>
      <c r="J140" s="273"/>
      <c r="K140" s="60"/>
      <c r="L140" s="25" t="s">
        <v>124</v>
      </c>
      <c r="M140" s="79">
        <f>D258</f>
        <v>200</v>
      </c>
      <c r="N140" s="74"/>
    </row>
    <row r="141" spans="1:14" ht="24.75" customHeight="1">
      <c r="A141" s="269" t="s">
        <v>94</v>
      </c>
      <c r="B141" s="335">
        <v>0.005333333333333333</v>
      </c>
      <c r="C141" s="335">
        <v>0.005333333333333333</v>
      </c>
      <c r="D141" s="272"/>
      <c r="E141" s="271"/>
      <c r="F141" s="271"/>
      <c r="G141" s="271"/>
      <c r="H141" s="272"/>
      <c r="I141" s="273"/>
      <c r="J141" s="273"/>
      <c r="K141" s="72"/>
      <c r="L141" s="25" t="s">
        <v>84</v>
      </c>
      <c r="M141" s="79">
        <f>B140++C238</f>
        <v>35.2</v>
      </c>
      <c r="N141" s="74">
        <f>B138+B160+B247+B255+B282</f>
        <v>45.7</v>
      </c>
    </row>
    <row r="142" spans="1:14" ht="24.75" customHeight="1">
      <c r="A142" s="285" t="s">
        <v>174</v>
      </c>
      <c r="B142" s="271">
        <v>2.2857142857142856</v>
      </c>
      <c r="C142" s="271">
        <v>2.2857142857142856</v>
      </c>
      <c r="D142" s="272"/>
      <c r="E142" s="271"/>
      <c r="F142" s="271"/>
      <c r="G142" s="271"/>
      <c r="H142" s="272"/>
      <c r="I142" s="273"/>
      <c r="J142" s="273"/>
      <c r="K142" s="70"/>
      <c r="L142" s="25" t="s">
        <v>85</v>
      </c>
      <c r="M142" s="79">
        <f>B138+B160++B247+B255+B282+B239+B188</f>
        <v>62.2</v>
      </c>
      <c r="N142" s="84"/>
    </row>
    <row r="143" spans="1:14" ht="24.75" customHeight="1">
      <c r="A143" s="269" t="s">
        <v>93</v>
      </c>
      <c r="B143" s="271">
        <v>2.2857142857142856</v>
      </c>
      <c r="C143" s="271">
        <v>2.2857142857142856</v>
      </c>
      <c r="D143" s="272"/>
      <c r="E143" s="271"/>
      <c r="F143" s="271"/>
      <c r="G143" s="271"/>
      <c r="H143" s="272"/>
      <c r="I143" s="273"/>
      <c r="J143" s="273"/>
      <c r="K143" s="1"/>
      <c r="L143" s="195" t="s">
        <v>197</v>
      </c>
      <c r="M143" s="156"/>
      <c r="N143" s="84"/>
    </row>
    <row r="144" spans="1:14" ht="23.25" customHeight="1">
      <c r="A144" s="276" t="s">
        <v>173</v>
      </c>
      <c r="B144" s="272">
        <v>4</v>
      </c>
      <c r="C144" s="272">
        <v>4</v>
      </c>
      <c r="D144" s="272"/>
      <c r="E144" s="271"/>
      <c r="F144" s="271"/>
      <c r="G144" s="271"/>
      <c r="H144" s="272"/>
      <c r="I144" s="273"/>
      <c r="J144" s="273"/>
      <c r="K144" s="10"/>
      <c r="L144" s="25" t="s">
        <v>125</v>
      </c>
      <c r="M144" s="79">
        <f>B159</f>
        <v>2</v>
      </c>
      <c r="N144" s="84"/>
    </row>
    <row r="145" spans="1:14" ht="14.25" customHeight="1">
      <c r="A145" s="269" t="s">
        <v>393</v>
      </c>
      <c r="B145" s="272">
        <v>30</v>
      </c>
      <c r="C145" s="272">
        <v>30</v>
      </c>
      <c r="D145" s="272"/>
      <c r="E145" s="271"/>
      <c r="F145" s="271"/>
      <c r="G145" s="271"/>
      <c r="H145" s="272"/>
      <c r="I145" s="273"/>
      <c r="J145" s="273"/>
      <c r="K145" s="10"/>
      <c r="L145" s="25" t="s">
        <v>86</v>
      </c>
      <c r="M145" s="79"/>
      <c r="N145" s="84"/>
    </row>
    <row r="146" spans="1:36" s="18" customFormat="1" ht="24.75" customHeight="1">
      <c r="A146" s="510" t="s">
        <v>253</v>
      </c>
      <c r="B146" s="510"/>
      <c r="C146" s="510"/>
      <c r="D146" s="510"/>
      <c r="E146" s="510"/>
      <c r="F146" s="510"/>
      <c r="G146" s="510"/>
      <c r="H146" s="510"/>
      <c r="I146" s="510"/>
      <c r="J146" s="510"/>
      <c r="K146" s="10"/>
      <c r="L146" s="25" t="s">
        <v>126</v>
      </c>
      <c r="M146" s="79">
        <f>B225</f>
        <v>114.75000000000001</v>
      </c>
      <c r="N146" s="8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</row>
    <row r="147" spans="1:14" ht="24.75" customHeight="1">
      <c r="A147" s="516" t="s">
        <v>518</v>
      </c>
      <c r="B147" s="516"/>
      <c r="C147" s="516"/>
      <c r="D147" s="113" t="s">
        <v>248</v>
      </c>
      <c r="E147" s="336">
        <v>10.8</v>
      </c>
      <c r="F147" s="336">
        <v>11</v>
      </c>
      <c r="G147" s="336">
        <v>33.3</v>
      </c>
      <c r="H147" s="337">
        <f>G147*4+F147*9+E147*4</f>
        <v>275.4</v>
      </c>
      <c r="I147" s="263">
        <v>0.3</v>
      </c>
      <c r="J147" s="338" t="s">
        <v>519</v>
      </c>
      <c r="K147" s="10"/>
      <c r="L147" s="151" t="s">
        <v>199</v>
      </c>
      <c r="M147" s="82">
        <f>B175</f>
        <v>25</v>
      </c>
      <c r="N147" s="84"/>
    </row>
    <row r="148" spans="1:14" ht="24.75" customHeight="1">
      <c r="A148" s="339" t="s">
        <v>34</v>
      </c>
      <c r="B148" s="340">
        <v>71</v>
      </c>
      <c r="C148" s="340">
        <v>69.77777777777777</v>
      </c>
      <c r="D148" s="272"/>
      <c r="E148" s="271"/>
      <c r="F148" s="271"/>
      <c r="G148" s="271"/>
      <c r="H148" s="271"/>
      <c r="I148" s="273"/>
      <c r="J148" s="341"/>
      <c r="K148" s="10"/>
      <c r="L148" s="25" t="s">
        <v>87</v>
      </c>
      <c r="M148" s="79">
        <f>B261</f>
        <v>63</v>
      </c>
      <c r="N148" s="84"/>
    </row>
    <row r="149" spans="1:14" ht="24.75" customHeight="1">
      <c r="A149" s="339" t="s">
        <v>517</v>
      </c>
      <c r="B149" s="340">
        <v>5.777777777777778</v>
      </c>
      <c r="C149" s="340">
        <v>5.777777777777778</v>
      </c>
      <c r="D149" s="272"/>
      <c r="E149" s="271"/>
      <c r="F149" s="271"/>
      <c r="G149" s="271"/>
      <c r="H149" s="270"/>
      <c r="I149" s="267"/>
      <c r="J149" s="341"/>
      <c r="K149" s="10"/>
      <c r="L149" s="25" t="s">
        <v>127</v>
      </c>
      <c r="M149" s="79">
        <f>B267</f>
        <v>102</v>
      </c>
      <c r="N149" s="84"/>
    </row>
    <row r="150" spans="1:14" ht="24.75" customHeight="1">
      <c r="A150" s="339" t="s">
        <v>108</v>
      </c>
      <c r="B150" s="340">
        <v>10.222222222222221</v>
      </c>
      <c r="C150" s="340">
        <v>10.222222222222221</v>
      </c>
      <c r="D150" s="272"/>
      <c r="E150" s="271"/>
      <c r="F150" s="271"/>
      <c r="G150" s="271"/>
      <c r="H150" s="270"/>
      <c r="I150" s="267"/>
      <c r="J150" s="341"/>
      <c r="K150" s="10"/>
      <c r="L150" s="26" t="s">
        <v>128</v>
      </c>
      <c r="M150" s="79">
        <f>B246+B275++B231+B161+B145+B287</f>
        <v>382</v>
      </c>
      <c r="N150" s="84"/>
    </row>
    <row r="151" spans="1:14" ht="24.75" customHeight="1">
      <c r="A151" s="264" t="s">
        <v>12</v>
      </c>
      <c r="B151" s="167">
        <v>5.777777777777778</v>
      </c>
      <c r="C151" s="167">
        <v>5.777777777777778</v>
      </c>
      <c r="D151" s="272"/>
      <c r="E151" s="271"/>
      <c r="F151" s="266"/>
      <c r="G151" s="266"/>
      <c r="H151" s="265"/>
      <c r="I151" s="267"/>
      <c r="J151" s="267"/>
      <c r="K151" s="10"/>
      <c r="L151" s="26" t="s">
        <v>321</v>
      </c>
      <c r="M151" s="79">
        <f>D165</f>
        <v>90</v>
      </c>
      <c r="N151" s="84">
        <f>+B161+B231+B246+B275</f>
        <v>142</v>
      </c>
    </row>
    <row r="152" spans="1:36" s="18" customFormat="1" ht="24.75" customHeight="1">
      <c r="A152" s="264" t="s">
        <v>149</v>
      </c>
      <c r="B152" s="266">
        <v>0.4</v>
      </c>
      <c r="C152" s="266">
        <v>0.4</v>
      </c>
      <c r="D152" s="271"/>
      <c r="E152" s="271"/>
      <c r="F152" s="266"/>
      <c r="G152" s="266"/>
      <c r="H152" s="265"/>
      <c r="I152" s="267"/>
      <c r="J152" s="267"/>
      <c r="K152" s="10"/>
      <c r="L152" s="25" t="s">
        <v>88</v>
      </c>
      <c r="M152" s="79">
        <f>B135</f>
        <v>77</v>
      </c>
      <c r="N152" s="8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</row>
    <row r="153" spans="1:36" s="18" customFormat="1" ht="24.75" customHeight="1">
      <c r="A153" s="339" t="s">
        <v>29</v>
      </c>
      <c r="B153" s="340">
        <v>3.111111111111111</v>
      </c>
      <c r="C153" s="340">
        <v>3.111111111111111</v>
      </c>
      <c r="D153" s="272"/>
      <c r="E153" s="271"/>
      <c r="F153" s="342"/>
      <c r="G153" s="342"/>
      <c r="H153" s="343"/>
      <c r="I153" s="267"/>
      <c r="J153" s="341"/>
      <c r="K153" s="10"/>
      <c r="L153" s="25" t="s">
        <v>89</v>
      </c>
      <c r="M153" s="79">
        <f>B143+B189</f>
        <v>7.285714285714286</v>
      </c>
      <c r="N153" s="84">
        <f>B143</f>
        <v>2.2857142857142856</v>
      </c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</row>
    <row r="154" spans="1:36" s="18" customFormat="1" ht="24.75" customHeight="1">
      <c r="A154" s="269" t="s">
        <v>65</v>
      </c>
      <c r="B154" s="342">
        <v>15.2</v>
      </c>
      <c r="C154" s="340">
        <v>15</v>
      </c>
      <c r="D154" s="272"/>
      <c r="E154" s="271"/>
      <c r="F154" s="342"/>
      <c r="G154" s="342"/>
      <c r="H154" s="343"/>
      <c r="I154" s="267"/>
      <c r="J154" s="341"/>
      <c r="K154" s="10"/>
      <c r="L154" s="25" t="s">
        <v>132</v>
      </c>
      <c r="M154" s="77"/>
      <c r="N154" s="8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</row>
    <row r="155" spans="1:36" s="18" customFormat="1" ht="24.75" customHeight="1">
      <c r="A155" s="264" t="s">
        <v>93</v>
      </c>
      <c r="B155" s="167">
        <v>4</v>
      </c>
      <c r="C155" s="167">
        <v>4</v>
      </c>
      <c r="D155" s="271"/>
      <c r="E155" s="271"/>
      <c r="F155" s="266"/>
      <c r="G155" s="266"/>
      <c r="H155" s="265"/>
      <c r="I155" s="267"/>
      <c r="J155" s="267"/>
      <c r="K155" s="10"/>
      <c r="L155" s="25" t="s">
        <v>90</v>
      </c>
      <c r="M155" s="77">
        <f>B144+B187+B248+B276+B268++B236+B164</f>
        <v>40</v>
      </c>
      <c r="N155" s="84">
        <f>B144+B187+B236+B248+B256+B268+B276</f>
        <v>31.5</v>
      </c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</row>
    <row r="156" spans="1:36" s="18" customFormat="1" ht="24.75" customHeight="1">
      <c r="A156" s="269" t="s">
        <v>173</v>
      </c>
      <c r="B156" s="340">
        <v>4</v>
      </c>
      <c r="C156" s="340">
        <v>4</v>
      </c>
      <c r="D156" s="272"/>
      <c r="E156" s="271"/>
      <c r="F156" s="342"/>
      <c r="G156" s="342"/>
      <c r="H156" s="343"/>
      <c r="I156" s="267"/>
      <c r="J156" s="341"/>
      <c r="K156" s="10"/>
      <c r="L156" s="25" t="s">
        <v>63</v>
      </c>
      <c r="M156" s="77">
        <f>+B232+B173+B257</f>
        <v>10.5</v>
      </c>
      <c r="N156" s="84">
        <f>+B232+B257</f>
        <v>5.5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</row>
    <row r="157" spans="1:36" s="18" customFormat="1" ht="24.75" customHeight="1" thickBot="1">
      <c r="A157" s="269" t="s">
        <v>393</v>
      </c>
      <c r="B157" s="272">
        <v>30</v>
      </c>
      <c r="C157" s="272">
        <v>30</v>
      </c>
      <c r="D157" s="270"/>
      <c r="E157" s="271"/>
      <c r="F157" s="342"/>
      <c r="G157" s="342"/>
      <c r="H157" s="343"/>
      <c r="I157" s="267"/>
      <c r="J157" s="341"/>
      <c r="K157" s="10"/>
      <c r="L157" s="27" t="s">
        <v>91</v>
      </c>
      <c r="M157" s="77">
        <f>B139+B249+B256+B229</f>
        <v>19.5</v>
      </c>
      <c r="N157" s="8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</row>
    <row r="158" spans="1:36" s="18" customFormat="1" ht="24.75" customHeight="1">
      <c r="A158" s="501" t="s">
        <v>151</v>
      </c>
      <c r="B158" s="501"/>
      <c r="C158" s="501"/>
      <c r="D158" s="113">
        <v>200</v>
      </c>
      <c r="E158" s="201">
        <v>3.9</v>
      </c>
      <c r="F158" s="201">
        <v>2.5</v>
      </c>
      <c r="G158" s="201">
        <v>18</v>
      </c>
      <c r="H158" s="202">
        <f>E158*4+F158*9+G158*4</f>
        <v>110.1</v>
      </c>
      <c r="I158" s="263">
        <v>0.5</v>
      </c>
      <c r="J158" s="192" t="s">
        <v>353</v>
      </c>
      <c r="K158" s="10"/>
      <c r="L158" s="29" t="s">
        <v>200</v>
      </c>
      <c r="M158" s="81"/>
      <c r="N158" s="8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</row>
    <row r="159" spans="1:36" s="18" customFormat="1" ht="24.75" customHeight="1">
      <c r="A159" s="285" t="s">
        <v>176</v>
      </c>
      <c r="B159" s="286">
        <v>2</v>
      </c>
      <c r="C159" s="286">
        <v>2</v>
      </c>
      <c r="D159" s="286"/>
      <c r="E159" s="287"/>
      <c r="F159" s="287"/>
      <c r="G159" s="287"/>
      <c r="H159" s="286"/>
      <c r="I159" s="288"/>
      <c r="J159" s="288"/>
      <c r="K159" s="10"/>
      <c r="L159" s="157" t="s">
        <v>206</v>
      </c>
      <c r="M159" s="174">
        <f>B250</f>
        <v>1.4</v>
      </c>
      <c r="N159" s="8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</row>
    <row r="160" spans="1:36" s="18" customFormat="1" ht="24.75" customHeight="1">
      <c r="A160" s="269" t="s">
        <v>12</v>
      </c>
      <c r="B160" s="270">
        <v>15</v>
      </c>
      <c r="C160" s="270">
        <v>15</v>
      </c>
      <c r="D160" s="270"/>
      <c r="E160" s="271"/>
      <c r="F160" s="271"/>
      <c r="G160" s="271"/>
      <c r="H160" s="272"/>
      <c r="I160" s="273"/>
      <c r="J160" s="273"/>
      <c r="K160" s="10"/>
      <c r="M160" s="81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</row>
    <row r="161" spans="1:36" s="18" customFormat="1" ht="24.75" customHeight="1">
      <c r="A161" s="280" t="s">
        <v>148</v>
      </c>
      <c r="B161" s="281">
        <v>100</v>
      </c>
      <c r="C161" s="281">
        <v>100</v>
      </c>
      <c r="D161" s="281"/>
      <c r="E161" s="283"/>
      <c r="F161" s="283"/>
      <c r="G161" s="283"/>
      <c r="H161" s="281"/>
      <c r="I161" s="284"/>
      <c r="J161" s="284"/>
      <c r="K161" s="10"/>
      <c r="M161" s="81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</row>
    <row r="162" spans="1:36" s="18" customFormat="1" ht="24.75" customHeight="1">
      <c r="A162" s="344" t="s">
        <v>345</v>
      </c>
      <c r="B162" s="113"/>
      <c r="C162" s="113"/>
      <c r="D162" s="275" t="s">
        <v>488</v>
      </c>
      <c r="E162" s="201">
        <v>1.6</v>
      </c>
      <c r="F162" s="201">
        <v>8.7</v>
      </c>
      <c r="G162" s="201">
        <v>9.9</v>
      </c>
      <c r="H162" s="202">
        <f>E162*4+F162*9+G162*4</f>
        <v>124.30000000000001</v>
      </c>
      <c r="I162" s="263">
        <v>0</v>
      </c>
      <c r="J162" s="227" t="s">
        <v>347</v>
      </c>
      <c r="K162" s="10"/>
      <c r="M162" s="81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</row>
    <row r="163" spans="1:36" s="18" customFormat="1" ht="24.75" customHeight="1">
      <c r="A163" s="276" t="s">
        <v>348</v>
      </c>
      <c r="B163" s="270">
        <v>20</v>
      </c>
      <c r="C163" s="270">
        <v>20</v>
      </c>
      <c r="D163" s="270"/>
      <c r="E163" s="271"/>
      <c r="F163" s="271"/>
      <c r="G163" s="271"/>
      <c r="H163" s="271"/>
      <c r="I163" s="309"/>
      <c r="J163" s="345"/>
      <c r="K163" s="65"/>
      <c r="L163" s="29"/>
      <c r="M163" s="78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</row>
    <row r="164" spans="1:36" s="18" customFormat="1" ht="24.75" customHeight="1">
      <c r="A164" s="276" t="s">
        <v>346</v>
      </c>
      <c r="B164" s="270">
        <v>10</v>
      </c>
      <c r="C164" s="270">
        <v>10</v>
      </c>
      <c r="D164" s="270"/>
      <c r="E164" s="271"/>
      <c r="F164" s="271"/>
      <c r="G164" s="271"/>
      <c r="H164" s="271"/>
      <c r="I164" s="273"/>
      <c r="J164" s="271"/>
      <c r="K164" s="65"/>
      <c r="L164" s="29"/>
      <c r="M164" s="78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</row>
    <row r="165" spans="1:36" s="18" customFormat="1" ht="66" customHeight="1">
      <c r="A165" s="483" t="s">
        <v>564</v>
      </c>
      <c r="B165" s="483"/>
      <c r="C165" s="483"/>
      <c r="D165" s="227">
        <v>90</v>
      </c>
      <c r="E165" s="201">
        <v>3.3</v>
      </c>
      <c r="F165" s="201">
        <v>2.7</v>
      </c>
      <c r="G165" s="201">
        <v>5.6</v>
      </c>
      <c r="H165" s="202">
        <f>G165*4+F165*9+E165*4</f>
        <v>59.900000000000006</v>
      </c>
      <c r="I165" s="192">
        <v>0</v>
      </c>
      <c r="J165" s="346"/>
      <c r="K165" s="65"/>
      <c r="L165" s="29"/>
      <c r="M165" s="78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</row>
    <row r="166" spans="1:93" s="18" customFormat="1" ht="24.75" customHeight="1">
      <c r="A166" s="501" t="s">
        <v>267</v>
      </c>
      <c r="B166" s="501"/>
      <c r="C166" s="501"/>
      <c r="D166" s="113">
        <v>20</v>
      </c>
      <c r="E166" s="36">
        <v>1.64</v>
      </c>
      <c r="F166" s="36">
        <v>0.28</v>
      </c>
      <c r="G166" s="36">
        <v>7.6</v>
      </c>
      <c r="H166" s="75">
        <v>39.48</v>
      </c>
      <c r="I166" s="192">
        <v>0</v>
      </c>
      <c r="J166" s="192"/>
      <c r="K166" s="65"/>
      <c r="L166" s="29"/>
      <c r="M166" s="78"/>
      <c r="N166" s="2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</row>
    <row r="167" spans="1:36" s="18" customFormat="1" ht="24.75" customHeight="1">
      <c r="A167" s="510" t="s">
        <v>150</v>
      </c>
      <c r="B167" s="510"/>
      <c r="C167" s="510"/>
      <c r="D167" s="510"/>
      <c r="E167" s="510"/>
      <c r="F167" s="510"/>
      <c r="G167" s="510"/>
      <c r="H167" s="510"/>
      <c r="I167" s="510"/>
      <c r="J167" s="510"/>
      <c r="K167" s="65"/>
      <c r="L167" s="29"/>
      <c r="M167" s="78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</row>
    <row r="168" spans="1:36" s="18" customFormat="1" ht="76.5" customHeight="1">
      <c r="A168" s="492" t="s">
        <v>337</v>
      </c>
      <c r="B168" s="492"/>
      <c r="C168" s="492"/>
      <c r="D168" s="282">
        <v>180</v>
      </c>
      <c r="E168" s="201">
        <v>0.4</v>
      </c>
      <c r="F168" s="279">
        <v>0</v>
      </c>
      <c r="G168" s="201">
        <v>18</v>
      </c>
      <c r="H168" s="202">
        <f>E168*4+F168*9+G168*4</f>
        <v>73.6</v>
      </c>
      <c r="I168" s="263">
        <v>12</v>
      </c>
      <c r="J168" s="263"/>
      <c r="K168" s="65"/>
      <c r="L168" s="29"/>
      <c r="M168" s="78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</row>
    <row r="169" spans="1:36" s="18" customFormat="1" ht="24.75" customHeight="1">
      <c r="A169" s="484" t="s">
        <v>18</v>
      </c>
      <c r="B169" s="484"/>
      <c r="C169" s="484"/>
      <c r="D169" s="484"/>
      <c r="E169" s="201">
        <f>E170+E174+E224+E234+E237+E240+E241</f>
        <v>27.599999999999998</v>
      </c>
      <c r="F169" s="201">
        <f>F170+F174+F224+F234+F237+F240+F241</f>
        <v>23.900000000000002</v>
      </c>
      <c r="G169" s="201">
        <f>G170+G174+G224+G234+G237+G240+G241</f>
        <v>135.3</v>
      </c>
      <c r="H169" s="202">
        <f>H170+H174+H224+H234+H237+H240+H241</f>
        <v>868.5</v>
      </c>
      <c r="I169" s="263">
        <f>I170+I174+I224+I234+I237+I240+I241</f>
        <v>51.35999999999999</v>
      </c>
      <c r="J169" s="201"/>
      <c r="K169" s="65"/>
      <c r="L169" s="29"/>
      <c r="M169" s="78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</row>
    <row r="170" spans="1:36" s="18" customFormat="1" ht="24.75" customHeight="1">
      <c r="A170" s="506" t="s">
        <v>544</v>
      </c>
      <c r="B170" s="514"/>
      <c r="C170" s="514"/>
      <c r="D170" s="347">
        <v>80</v>
      </c>
      <c r="E170" s="348">
        <v>0.9</v>
      </c>
      <c r="F170" s="348">
        <v>5.1</v>
      </c>
      <c r="G170" s="201">
        <v>3</v>
      </c>
      <c r="H170" s="202">
        <f>E170*4+F170*9+G170*4</f>
        <v>61.5</v>
      </c>
      <c r="I170" s="263">
        <v>19.6</v>
      </c>
      <c r="J170" s="263" t="s">
        <v>398</v>
      </c>
      <c r="K170" s="65"/>
      <c r="L170" s="29"/>
      <c r="M170" s="78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</row>
    <row r="171" spans="1:36" s="18" customFormat="1" ht="24.75" customHeight="1">
      <c r="A171" s="269" t="s">
        <v>277</v>
      </c>
      <c r="B171" s="272">
        <f>C171*1.18</f>
        <v>89.67999999999999</v>
      </c>
      <c r="C171" s="270">
        <v>76</v>
      </c>
      <c r="D171" s="349"/>
      <c r="E171" s="350"/>
      <c r="F171" s="350"/>
      <c r="G171" s="350"/>
      <c r="H171" s="350"/>
      <c r="I171" s="351"/>
      <c r="J171" s="350"/>
      <c r="K171" s="65"/>
      <c r="L171" s="29"/>
      <c r="M171" s="78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</row>
    <row r="172" spans="1:36" s="18" customFormat="1" ht="24.75" customHeight="1">
      <c r="A172" s="269" t="s">
        <v>264</v>
      </c>
      <c r="B172" s="272">
        <f>C172*1.02</f>
        <v>77.52</v>
      </c>
      <c r="C172" s="270">
        <v>76</v>
      </c>
      <c r="D172" s="349"/>
      <c r="E172" s="350"/>
      <c r="F172" s="334"/>
      <c r="G172" s="334"/>
      <c r="H172" s="352"/>
      <c r="I172" s="288"/>
      <c r="J172" s="288"/>
      <c r="K172" s="65"/>
      <c r="L172" s="29"/>
      <c r="M172" s="78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</row>
    <row r="173" spans="1:36" s="18" customFormat="1" ht="24.75" customHeight="1">
      <c r="A173" s="269" t="s">
        <v>20</v>
      </c>
      <c r="B173" s="270">
        <v>5</v>
      </c>
      <c r="C173" s="270">
        <v>5</v>
      </c>
      <c r="D173" s="349"/>
      <c r="E173" s="350"/>
      <c r="F173" s="334"/>
      <c r="G173" s="334"/>
      <c r="H173" s="352"/>
      <c r="I173" s="288"/>
      <c r="J173" s="288"/>
      <c r="K173" s="65"/>
      <c r="L173" s="29"/>
      <c r="M173" s="78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</row>
    <row r="174" spans="1:36" s="18" customFormat="1" ht="48" customHeight="1">
      <c r="A174" s="511" t="s">
        <v>550</v>
      </c>
      <c r="B174" s="511"/>
      <c r="C174" s="511"/>
      <c r="D174" s="113" t="s">
        <v>604</v>
      </c>
      <c r="E174" s="201">
        <v>8.1</v>
      </c>
      <c r="F174" s="201">
        <v>5.7</v>
      </c>
      <c r="G174" s="201">
        <v>20.4</v>
      </c>
      <c r="H174" s="202">
        <v>165</v>
      </c>
      <c r="I174" s="263">
        <v>31.2</v>
      </c>
      <c r="J174" s="353" t="s">
        <v>461</v>
      </c>
      <c r="K174" s="65"/>
      <c r="L174" s="29"/>
      <c r="M174" s="78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</row>
    <row r="175" spans="1:36" s="18" customFormat="1" ht="24.75" customHeight="1">
      <c r="A175" s="276" t="s">
        <v>565</v>
      </c>
      <c r="B175" s="354">
        <v>25</v>
      </c>
      <c r="C175" s="354">
        <v>21</v>
      </c>
      <c r="D175" s="113"/>
      <c r="E175" s="201"/>
      <c r="F175" s="201"/>
      <c r="G175" s="201"/>
      <c r="H175" s="202"/>
      <c r="I175" s="263"/>
      <c r="J175" s="353"/>
      <c r="K175" s="65"/>
      <c r="L175" s="29"/>
      <c r="M175" s="78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</row>
    <row r="176" spans="1:36" s="18" customFormat="1" ht="24.75" customHeight="1">
      <c r="A176" s="269" t="s">
        <v>52</v>
      </c>
      <c r="B176" s="270">
        <f>C176*1.25</f>
        <v>70</v>
      </c>
      <c r="C176" s="270">
        <v>56</v>
      </c>
      <c r="D176" s="355"/>
      <c r="E176" s="356"/>
      <c r="F176" s="356"/>
      <c r="G176" s="356"/>
      <c r="H176" s="356"/>
      <c r="I176" s="357"/>
      <c r="J176" s="358"/>
      <c r="K176" s="65"/>
      <c r="L176" s="29"/>
      <c r="M176" s="78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</row>
    <row r="177" spans="1:36" s="18" customFormat="1" ht="24.75" customHeight="1">
      <c r="A177" s="269" t="s">
        <v>19</v>
      </c>
      <c r="B177" s="272">
        <f>C177*1.33</f>
        <v>74.48</v>
      </c>
      <c r="C177" s="270">
        <v>56</v>
      </c>
      <c r="D177" s="355"/>
      <c r="E177" s="356"/>
      <c r="F177" s="356"/>
      <c r="G177" s="356"/>
      <c r="H177" s="359"/>
      <c r="I177" s="360"/>
      <c r="J177" s="358"/>
      <c r="K177" s="65"/>
      <c r="L177" s="29"/>
      <c r="M177" s="78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spans="1:13" ht="24.75" customHeight="1">
      <c r="A178" s="269" t="s">
        <v>45</v>
      </c>
      <c r="B178" s="270">
        <f>C178*1.25</f>
        <v>35</v>
      </c>
      <c r="C178" s="270">
        <v>28</v>
      </c>
      <c r="D178" s="355"/>
      <c r="E178" s="356"/>
      <c r="F178" s="356"/>
      <c r="G178" s="356"/>
      <c r="H178" s="359"/>
      <c r="I178" s="360"/>
      <c r="J178" s="358"/>
      <c r="K178" s="65"/>
      <c r="M178" s="78"/>
    </row>
    <row r="179" spans="1:36" s="18" customFormat="1" ht="36" customHeight="1">
      <c r="A179" s="327" t="s">
        <v>21</v>
      </c>
      <c r="B179" s="290">
        <f>C179*1.33</f>
        <v>27.93</v>
      </c>
      <c r="C179" s="286">
        <v>21</v>
      </c>
      <c r="D179" s="281"/>
      <c r="E179" s="283"/>
      <c r="F179" s="283"/>
      <c r="G179" s="283"/>
      <c r="H179" s="281"/>
      <c r="I179" s="284"/>
      <c r="J179" s="284"/>
      <c r="K179" s="65"/>
      <c r="L179" s="29"/>
      <c r="M179" s="78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spans="1:36" s="18" customFormat="1" ht="24.75" customHeight="1">
      <c r="A180" s="285" t="s">
        <v>22</v>
      </c>
      <c r="B180" s="290">
        <f>C180*1.43</f>
        <v>30.029999999999998</v>
      </c>
      <c r="C180" s="286">
        <v>21</v>
      </c>
      <c r="D180" s="281"/>
      <c r="E180" s="271"/>
      <c r="F180" s="271"/>
      <c r="G180" s="271"/>
      <c r="H180" s="272"/>
      <c r="I180" s="273"/>
      <c r="J180" s="273"/>
      <c r="K180" s="14"/>
      <c r="L180" s="29"/>
      <c r="M180" s="78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</row>
    <row r="181" spans="1:36" s="18" customFormat="1" ht="24.75" customHeight="1">
      <c r="A181" s="285" t="s">
        <v>23</v>
      </c>
      <c r="B181" s="290">
        <f>C181*1.54</f>
        <v>32.34</v>
      </c>
      <c r="C181" s="286">
        <v>21</v>
      </c>
      <c r="D181" s="281"/>
      <c r="E181" s="271"/>
      <c r="F181" s="271"/>
      <c r="G181" s="271"/>
      <c r="H181" s="272"/>
      <c r="I181" s="273"/>
      <c r="J181" s="273"/>
      <c r="K181" s="65"/>
      <c r="L181" s="29"/>
      <c r="M181" s="78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1:36" s="18" customFormat="1" ht="24.75" customHeight="1">
      <c r="A182" s="285" t="s">
        <v>24</v>
      </c>
      <c r="B182" s="290">
        <f>C182*1.67</f>
        <v>35.07</v>
      </c>
      <c r="C182" s="286">
        <v>21</v>
      </c>
      <c r="D182" s="281"/>
      <c r="E182" s="271"/>
      <c r="F182" s="271"/>
      <c r="G182" s="271"/>
      <c r="H182" s="272"/>
      <c r="I182" s="273"/>
      <c r="J182" s="273"/>
      <c r="K182" s="65"/>
      <c r="L182" s="29"/>
      <c r="M182" s="78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1:36" s="18" customFormat="1" ht="24.75" customHeight="1">
      <c r="A183" s="269" t="s">
        <v>25</v>
      </c>
      <c r="B183" s="272">
        <f>C183*1.25</f>
        <v>22.5</v>
      </c>
      <c r="C183" s="270">
        <v>18</v>
      </c>
      <c r="D183" s="270"/>
      <c r="E183" s="271"/>
      <c r="F183" s="271"/>
      <c r="G183" s="271"/>
      <c r="H183" s="272"/>
      <c r="I183" s="309"/>
      <c r="J183" s="310"/>
      <c r="K183" s="65"/>
      <c r="L183" s="29"/>
      <c r="M183" s="78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1:36" s="18" customFormat="1" ht="24.75" customHeight="1">
      <c r="A184" s="269" t="s">
        <v>19</v>
      </c>
      <c r="B184" s="272">
        <f>C184*1.33</f>
        <v>23.94</v>
      </c>
      <c r="C184" s="270">
        <v>18</v>
      </c>
      <c r="D184" s="270"/>
      <c r="E184" s="271"/>
      <c r="F184" s="271"/>
      <c r="G184" s="271"/>
      <c r="H184" s="272"/>
      <c r="I184" s="309"/>
      <c r="J184" s="310"/>
      <c r="K184" s="65"/>
      <c r="L184" s="29"/>
      <c r="M184" s="78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</row>
    <row r="185" spans="1:36" s="18" customFormat="1" ht="24.75" customHeight="1">
      <c r="A185" s="285" t="s">
        <v>26</v>
      </c>
      <c r="B185" s="290">
        <f>C185*1.19</f>
        <v>16.66</v>
      </c>
      <c r="C185" s="286">
        <v>14</v>
      </c>
      <c r="D185" s="281"/>
      <c r="E185" s="271"/>
      <c r="F185" s="271"/>
      <c r="G185" s="271"/>
      <c r="H185" s="272"/>
      <c r="I185" s="273"/>
      <c r="J185" s="273"/>
      <c r="K185" s="15"/>
      <c r="L185" s="29"/>
      <c r="M185" s="78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</row>
    <row r="186" spans="1:36" s="18" customFormat="1" ht="40.5" customHeight="1">
      <c r="A186" s="276" t="s">
        <v>407</v>
      </c>
      <c r="B186" s="270">
        <v>4</v>
      </c>
      <c r="C186" s="270">
        <v>4</v>
      </c>
      <c r="D186" s="355"/>
      <c r="E186" s="356"/>
      <c r="F186" s="356"/>
      <c r="G186" s="356"/>
      <c r="H186" s="359"/>
      <c r="I186" s="360"/>
      <c r="J186" s="358"/>
      <c r="K186" s="64"/>
      <c r="L186" s="29"/>
      <c r="M186" s="78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spans="1:13" ht="24.75" customHeight="1">
      <c r="A187" s="269" t="s">
        <v>27</v>
      </c>
      <c r="B187" s="286">
        <v>8</v>
      </c>
      <c r="C187" s="286">
        <v>8</v>
      </c>
      <c r="D187" s="281"/>
      <c r="E187" s="271"/>
      <c r="F187" s="271"/>
      <c r="G187" s="271"/>
      <c r="H187" s="272"/>
      <c r="I187" s="273"/>
      <c r="J187" s="273"/>
      <c r="K187" s="1"/>
      <c r="M187" s="78"/>
    </row>
    <row r="188" spans="1:13" ht="24.75" customHeight="1">
      <c r="A188" s="269" t="s">
        <v>12</v>
      </c>
      <c r="B188" s="270">
        <v>1.5</v>
      </c>
      <c r="C188" s="270">
        <v>1.5</v>
      </c>
      <c r="D188" s="270"/>
      <c r="E188" s="271"/>
      <c r="F188" s="271"/>
      <c r="G188" s="271"/>
      <c r="H188" s="272"/>
      <c r="I188" s="309"/>
      <c r="J188" s="310"/>
      <c r="K188" s="76"/>
      <c r="M188" s="78"/>
    </row>
    <row r="189" spans="1:36" s="18" customFormat="1" ht="24.75" customHeight="1">
      <c r="A189" s="269" t="s">
        <v>93</v>
      </c>
      <c r="B189" s="270">
        <v>5</v>
      </c>
      <c r="C189" s="270">
        <v>5</v>
      </c>
      <c r="D189" s="270"/>
      <c r="E189" s="271"/>
      <c r="F189" s="271"/>
      <c r="G189" s="271"/>
      <c r="H189" s="272"/>
      <c r="I189" s="309"/>
      <c r="J189" s="310"/>
      <c r="K189" s="76"/>
      <c r="L189" s="29"/>
      <c r="M189" s="78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1:36" s="18" customFormat="1" ht="24.75" customHeight="1">
      <c r="A190" s="285" t="s">
        <v>68</v>
      </c>
      <c r="B190" s="290">
        <v>2</v>
      </c>
      <c r="C190" s="286">
        <v>1</v>
      </c>
      <c r="D190" s="281"/>
      <c r="E190" s="271"/>
      <c r="F190" s="271"/>
      <c r="G190" s="271"/>
      <c r="H190" s="272"/>
      <c r="I190" s="273"/>
      <c r="J190" s="273"/>
      <c r="K190" s="76"/>
      <c r="L190" s="29"/>
      <c r="M190" s="78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spans="1:36" s="18" customFormat="1" ht="24.75" customHeight="1">
      <c r="A191" s="519" t="s">
        <v>253</v>
      </c>
      <c r="B191" s="519"/>
      <c r="C191" s="519"/>
      <c r="D191" s="519"/>
      <c r="E191" s="519"/>
      <c r="F191" s="519"/>
      <c r="G191" s="519"/>
      <c r="H191" s="519"/>
      <c r="I191" s="519"/>
      <c r="J191" s="519"/>
      <c r="K191" s="1"/>
      <c r="L191" s="29"/>
      <c r="M191" s="78"/>
      <c r="N191" s="8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</row>
    <row r="192" spans="1:36" s="18" customFormat="1" ht="24.75" customHeight="1">
      <c r="A192" s="482" t="s">
        <v>566</v>
      </c>
      <c r="B192" s="482"/>
      <c r="C192" s="482"/>
      <c r="D192" s="314" t="s">
        <v>604</v>
      </c>
      <c r="E192" s="279">
        <v>8.95</v>
      </c>
      <c r="F192" s="279">
        <v>6.4</v>
      </c>
      <c r="G192" s="279">
        <v>10.2</v>
      </c>
      <c r="H192" s="202">
        <v>162.25</v>
      </c>
      <c r="I192" s="263">
        <v>13</v>
      </c>
      <c r="J192" s="263" t="s">
        <v>468</v>
      </c>
      <c r="K192" s="10"/>
      <c r="L192" s="29"/>
      <c r="M192" s="78"/>
      <c r="N192" s="8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</row>
    <row r="193" spans="1:14" ht="24.75" customHeight="1">
      <c r="A193" s="270" t="s">
        <v>567</v>
      </c>
      <c r="B193" s="270">
        <v>25</v>
      </c>
      <c r="C193" s="270">
        <v>21</v>
      </c>
      <c r="D193" s="314"/>
      <c r="E193" s="279"/>
      <c r="F193" s="279"/>
      <c r="G193" s="279"/>
      <c r="H193" s="202"/>
      <c r="I193" s="263"/>
      <c r="J193" s="263"/>
      <c r="K193" s="15"/>
      <c r="M193" s="77"/>
      <c r="N193" s="84"/>
    </row>
    <row r="194" spans="1:14" ht="24.75" customHeight="1">
      <c r="A194" s="285" t="s">
        <v>52</v>
      </c>
      <c r="B194" s="290">
        <f>C194*1.25</f>
        <v>42.5</v>
      </c>
      <c r="C194" s="290">
        <v>34</v>
      </c>
      <c r="D194" s="286"/>
      <c r="E194" s="287"/>
      <c r="F194" s="287"/>
      <c r="G194" s="287"/>
      <c r="H194" s="287"/>
      <c r="I194" s="288"/>
      <c r="J194" s="288"/>
      <c r="K194" s="14"/>
      <c r="M194" s="78"/>
      <c r="N194" s="84"/>
    </row>
    <row r="195" spans="1:36" s="18" customFormat="1" ht="24.75" customHeight="1">
      <c r="A195" s="285" t="s">
        <v>19</v>
      </c>
      <c r="B195" s="290">
        <f>C195*1.33</f>
        <v>45.22</v>
      </c>
      <c r="C195" s="290">
        <v>34</v>
      </c>
      <c r="D195" s="286"/>
      <c r="E195" s="287"/>
      <c r="F195" s="287"/>
      <c r="G195" s="287"/>
      <c r="H195" s="290"/>
      <c r="I195" s="288"/>
      <c r="J195" s="288"/>
      <c r="K195" s="14"/>
      <c r="L195" s="29"/>
      <c r="M195" s="78"/>
      <c r="N195" s="8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</row>
    <row r="196" spans="1:36" s="18" customFormat="1" ht="24.75" customHeight="1">
      <c r="A196" s="285" t="s">
        <v>45</v>
      </c>
      <c r="B196" s="290">
        <f>C196*1.25</f>
        <v>131.25</v>
      </c>
      <c r="C196" s="290">
        <v>105</v>
      </c>
      <c r="D196" s="286"/>
      <c r="E196" s="287"/>
      <c r="F196" s="287"/>
      <c r="G196" s="287"/>
      <c r="H196" s="290"/>
      <c r="I196" s="288"/>
      <c r="J196" s="288"/>
      <c r="K196" s="14"/>
      <c r="L196" s="29"/>
      <c r="M196" s="78"/>
      <c r="N196" s="8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</row>
    <row r="197" spans="1:36" s="18" customFormat="1" ht="24.75" customHeight="1">
      <c r="A197" s="280" t="s">
        <v>120</v>
      </c>
      <c r="B197" s="305">
        <f>C197*1.02</f>
        <v>54.06</v>
      </c>
      <c r="C197" s="305">
        <v>53</v>
      </c>
      <c r="D197" s="286"/>
      <c r="E197" s="287"/>
      <c r="F197" s="287"/>
      <c r="G197" s="287"/>
      <c r="H197" s="290"/>
      <c r="I197" s="288"/>
      <c r="J197" s="288"/>
      <c r="K197" s="14"/>
      <c r="L197" s="29"/>
      <c r="M197" s="78"/>
      <c r="N197" s="8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</row>
    <row r="198" spans="1:36" s="18" customFormat="1" ht="24.75" customHeight="1">
      <c r="A198" s="280" t="s">
        <v>215</v>
      </c>
      <c r="B198" s="305">
        <f>C198*1.18</f>
        <v>62.54</v>
      </c>
      <c r="C198" s="305">
        <v>53</v>
      </c>
      <c r="D198" s="286"/>
      <c r="E198" s="287"/>
      <c r="F198" s="287"/>
      <c r="G198" s="287"/>
      <c r="H198" s="290"/>
      <c r="I198" s="288"/>
      <c r="J198" s="288"/>
      <c r="K198" s="14"/>
      <c r="L198" s="29"/>
      <c r="M198" s="78"/>
      <c r="N198" s="8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</row>
    <row r="199" spans="1:36" s="18" customFormat="1" ht="24.75" customHeight="1">
      <c r="A199" s="285" t="s">
        <v>25</v>
      </c>
      <c r="B199" s="290">
        <f>C199*1.25</f>
        <v>25</v>
      </c>
      <c r="C199" s="290">
        <v>20</v>
      </c>
      <c r="D199" s="286"/>
      <c r="E199" s="287"/>
      <c r="F199" s="287"/>
      <c r="G199" s="287"/>
      <c r="H199" s="290"/>
      <c r="I199" s="288"/>
      <c r="J199" s="288"/>
      <c r="K199" s="64"/>
      <c r="L199" s="29"/>
      <c r="M199" s="78"/>
      <c r="N199" s="8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</row>
    <row r="200" spans="1:14" ht="24.75" customHeight="1">
      <c r="A200" s="285" t="s">
        <v>19</v>
      </c>
      <c r="B200" s="290">
        <f>C200*1.33</f>
        <v>26.6</v>
      </c>
      <c r="C200" s="290">
        <v>20</v>
      </c>
      <c r="D200" s="286"/>
      <c r="E200" s="287"/>
      <c r="F200" s="287"/>
      <c r="G200" s="287"/>
      <c r="H200" s="290"/>
      <c r="I200" s="288"/>
      <c r="J200" s="288"/>
      <c r="K200" s="10"/>
      <c r="M200" s="78"/>
      <c r="N200" s="84"/>
    </row>
    <row r="201" spans="1:36" s="18" customFormat="1" ht="24.75" customHeight="1">
      <c r="A201" s="285" t="s">
        <v>26</v>
      </c>
      <c r="B201" s="290">
        <f>C201*1.19</f>
        <v>16.66</v>
      </c>
      <c r="C201" s="290">
        <v>14</v>
      </c>
      <c r="D201" s="286"/>
      <c r="E201" s="287"/>
      <c r="F201" s="287"/>
      <c r="G201" s="287"/>
      <c r="H201" s="290"/>
      <c r="I201" s="288"/>
      <c r="J201" s="288"/>
      <c r="K201" s="14"/>
      <c r="L201" s="29"/>
      <c r="M201" s="78"/>
      <c r="N201" s="8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</row>
    <row r="202" spans="1:14" ht="24.75" customHeight="1">
      <c r="A202" s="285" t="s">
        <v>27</v>
      </c>
      <c r="B202" s="290">
        <v>8</v>
      </c>
      <c r="C202" s="290">
        <v>8</v>
      </c>
      <c r="D202" s="286"/>
      <c r="E202" s="287"/>
      <c r="F202" s="287"/>
      <c r="G202" s="287"/>
      <c r="H202" s="290"/>
      <c r="I202" s="288"/>
      <c r="J202" s="288"/>
      <c r="K202" s="10"/>
      <c r="M202" s="78"/>
      <c r="N202" s="84"/>
    </row>
    <row r="203" spans="1:36" s="18" customFormat="1" ht="24.75" customHeight="1">
      <c r="A203" s="285" t="s">
        <v>68</v>
      </c>
      <c r="B203" s="290">
        <v>2</v>
      </c>
      <c r="C203" s="286">
        <v>1</v>
      </c>
      <c r="D203" s="270"/>
      <c r="E203" s="271"/>
      <c r="F203" s="271"/>
      <c r="G203" s="271"/>
      <c r="H203" s="272"/>
      <c r="I203" s="273"/>
      <c r="J203" s="273"/>
      <c r="K203" s="14"/>
      <c r="L203" s="29"/>
      <c r="M203" s="78"/>
      <c r="N203" s="8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</row>
    <row r="204" spans="1:36" s="18" customFormat="1" ht="24.75" customHeight="1">
      <c r="A204" s="269" t="s">
        <v>93</v>
      </c>
      <c r="B204" s="321">
        <v>5</v>
      </c>
      <c r="C204" s="321">
        <v>5</v>
      </c>
      <c r="D204" s="286"/>
      <c r="E204" s="361"/>
      <c r="F204" s="361"/>
      <c r="G204" s="361"/>
      <c r="H204" s="362"/>
      <c r="I204" s="363"/>
      <c r="J204" s="363"/>
      <c r="K204" s="14"/>
      <c r="L204" s="29"/>
      <c r="M204" s="78"/>
      <c r="N204" s="8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</row>
    <row r="205" spans="1:36" s="18" customFormat="1" ht="24.75" customHeight="1">
      <c r="A205" s="510" t="s">
        <v>284</v>
      </c>
      <c r="B205" s="510"/>
      <c r="C205" s="510"/>
      <c r="D205" s="510"/>
      <c r="E205" s="510"/>
      <c r="F205" s="510"/>
      <c r="G205" s="510"/>
      <c r="H205" s="510"/>
      <c r="I205" s="510"/>
      <c r="J205" s="510"/>
      <c r="K205" s="14"/>
      <c r="L205" s="30"/>
      <c r="M205" s="78"/>
      <c r="N205" s="8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</row>
    <row r="206" spans="1:14" ht="24.75" customHeight="1">
      <c r="A206" s="482" t="s">
        <v>568</v>
      </c>
      <c r="B206" s="482"/>
      <c r="C206" s="482"/>
      <c r="D206" s="314" t="s">
        <v>604</v>
      </c>
      <c r="E206" s="279">
        <v>11.2</v>
      </c>
      <c r="F206" s="279">
        <v>10.2</v>
      </c>
      <c r="G206" s="279">
        <v>19.4</v>
      </c>
      <c r="H206" s="202">
        <v>214</v>
      </c>
      <c r="I206" s="263">
        <v>4.5</v>
      </c>
      <c r="J206" s="263" t="s">
        <v>474</v>
      </c>
      <c r="K206" s="15"/>
      <c r="M206" s="77"/>
      <c r="N206" s="84"/>
    </row>
    <row r="207" spans="1:14" ht="24.75" customHeight="1">
      <c r="A207" s="270" t="s">
        <v>567</v>
      </c>
      <c r="B207" s="270">
        <v>25</v>
      </c>
      <c r="C207" s="270">
        <v>21</v>
      </c>
      <c r="D207" s="314"/>
      <c r="E207" s="279"/>
      <c r="F207" s="279"/>
      <c r="G207" s="279"/>
      <c r="H207" s="202"/>
      <c r="I207" s="263"/>
      <c r="J207" s="263"/>
      <c r="K207" s="15"/>
      <c r="M207" s="77"/>
      <c r="N207" s="84"/>
    </row>
    <row r="208" spans="1:36" s="18" customFormat="1" ht="24.75" customHeight="1">
      <c r="A208" s="285" t="s">
        <v>52</v>
      </c>
      <c r="B208" s="290">
        <f>C208*1.25</f>
        <v>70</v>
      </c>
      <c r="C208" s="290">
        <v>56</v>
      </c>
      <c r="D208" s="286"/>
      <c r="E208" s="287"/>
      <c r="F208" s="287"/>
      <c r="G208" s="287"/>
      <c r="H208" s="287"/>
      <c r="I208" s="288"/>
      <c r="J208" s="364"/>
      <c r="K208" s="10"/>
      <c r="L208" s="29"/>
      <c r="M208" s="82"/>
      <c r="N208" s="8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</row>
    <row r="209" spans="1:14" ht="24.75" customHeight="1">
      <c r="A209" s="285" t="s">
        <v>19</v>
      </c>
      <c r="B209" s="290">
        <f>C209*1.33</f>
        <v>74.48</v>
      </c>
      <c r="C209" s="290">
        <v>56</v>
      </c>
      <c r="D209" s="286"/>
      <c r="E209" s="287"/>
      <c r="F209" s="287"/>
      <c r="G209" s="287"/>
      <c r="H209" s="287"/>
      <c r="I209" s="364"/>
      <c r="J209" s="364"/>
      <c r="K209" s="10"/>
      <c r="N209" s="84"/>
    </row>
    <row r="210" spans="1:36" s="18" customFormat="1" ht="29.25" customHeight="1">
      <c r="A210" s="285" t="s">
        <v>45</v>
      </c>
      <c r="B210" s="290">
        <f>C210*1.25</f>
        <v>35</v>
      </c>
      <c r="C210" s="290">
        <v>28</v>
      </c>
      <c r="D210" s="286"/>
      <c r="E210" s="287"/>
      <c r="F210" s="287"/>
      <c r="G210" s="287"/>
      <c r="H210" s="290"/>
      <c r="I210" s="364"/>
      <c r="J210" s="364"/>
      <c r="K210" s="10"/>
      <c r="L210" s="29"/>
      <c r="M210" s="82"/>
      <c r="N210" s="8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</row>
    <row r="211" spans="1:36" s="18" customFormat="1" ht="42" customHeight="1">
      <c r="A211" s="298" t="s">
        <v>292</v>
      </c>
      <c r="B211" s="290">
        <f>C211*1.86</f>
        <v>39.06</v>
      </c>
      <c r="C211" s="290">
        <v>21</v>
      </c>
      <c r="D211" s="286"/>
      <c r="E211" s="287"/>
      <c r="F211" s="287"/>
      <c r="G211" s="287"/>
      <c r="H211" s="290"/>
      <c r="I211" s="364"/>
      <c r="J211" s="364"/>
      <c r="K211" s="10"/>
      <c r="L211" s="29"/>
      <c r="M211" s="82"/>
      <c r="N211" s="8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</row>
    <row r="212" spans="1:36" s="18" customFormat="1" ht="24.75" customHeight="1">
      <c r="A212" s="285" t="s">
        <v>21</v>
      </c>
      <c r="B212" s="290">
        <f>C212*1.33</f>
        <v>18.62</v>
      </c>
      <c r="C212" s="290">
        <v>14</v>
      </c>
      <c r="D212" s="281"/>
      <c r="E212" s="283"/>
      <c r="F212" s="283"/>
      <c r="G212" s="283"/>
      <c r="H212" s="281"/>
      <c r="I212" s="284"/>
      <c r="J212" s="284"/>
      <c r="K212" s="14"/>
      <c r="L212" s="29"/>
      <c r="M212" s="82"/>
      <c r="N212" s="8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</row>
    <row r="213" spans="1:36" s="18" customFormat="1" ht="24.75" customHeight="1">
      <c r="A213" s="285" t="s">
        <v>22</v>
      </c>
      <c r="B213" s="290">
        <f>C213*1.43</f>
        <v>20.02</v>
      </c>
      <c r="C213" s="290">
        <v>14</v>
      </c>
      <c r="D213" s="286"/>
      <c r="E213" s="287"/>
      <c r="F213" s="365"/>
      <c r="G213" s="287"/>
      <c r="H213" s="290"/>
      <c r="I213" s="364"/>
      <c r="J213" s="364"/>
      <c r="K213" s="14"/>
      <c r="L213" s="29"/>
      <c r="M213" s="82"/>
      <c r="N213" s="8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</row>
    <row r="214" spans="1:36" s="3" customFormat="1" ht="24.75" customHeight="1">
      <c r="A214" s="285" t="s">
        <v>23</v>
      </c>
      <c r="B214" s="290">
        <f>C214*1.54</f>
        <v>21.560000000000002</v>
      </c>
      <c r="C214" s="290">
        <v>14</v>
      </c>
      <c r="D214" s="286"/>
      <c r="E214" s="287"/>
      <c r="F214" s="287"/>
      <c r="G214" s="287"/>
      <c r="H214" s="290"/>
      <c r="I214" s="364"/>
      <c r="J214" s="364"/>
      <c r="K214" s="14"/>
      <c r="L214" s="29"/>
      <c r="M214" s="82"/>
      <c r="N214" s="84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s="3" customFormat="1" ht="24.75" customHeight="1">
      <c r="A215" s="285" t="s">
        <v>24</v>
      </c>
      <c r="B215" s="290">
        <f>C215*1.67</f>
        <v>23.38</v>
      </c>
      <c r="C215" s="290">
        <v>14</v>
      </c>
      <c r="D215" s="286"/>
      <c r="E215" s="287"/>
      <c r="F215" s="287"/>
      <c r="G215" s="287"/>
      <c r="H215" s="290"/>
      <c r="I215" s="364"/>
      <c r="J215" s="364"/>
      <c r="K215" s="10"/>
      <c r="N215" s="84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s="3" customFormat="1" ht="24.75" customHeight="1">
      <c r="A216" s="285" t="s">
        <v>293</v>
      </c>
      <c r="B216" s="290">
        <v>14</v>
      </c>
      <c r="C216" s="290">
        <v>14</v>
      </c>
      <c r="D216" s="286"/>
      <c r="E216" s="287"/>
      <c r="F216" s="287"/>
      <c r="G216" s="287"/>
      <c r="H216" s="290"/>
      <c r="I216" s="364"/>
      <c r="J216" s="364"/>
      <c r="K216" s="14"/>
      <c r="N216" s="84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s="3" customFormat="1" ht="24.75" customHeight="1">
      <c r="A217" s="285" t="s">
        <v>25</v>
      </c>
      <c r="B217" s="290">
        <f>C217*1.25</f>
        <v>17.5</v>
      </c>
      <c r="C217" s="290">
        <v>14</v>
      </c>
      <c r="D217" s="286"/>
      <c r="E217" s="287"/>
      <c r="F217" s="287"/>
      <c r="G217" s="287"/>
      <c r="H217" s="290"/>
      <c r="I217" s="364"/>
      <c r="J217" s="364"/>
      <c r="K217" s="14"/>
      <c r="N217" s="84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s="3" customFormat="1" ht="24.75" customHeight="1">
      <c r="A218" s="285" t="s">
        <v>19</v>
      </c>
      <c r="B218" s="290">
        <f>C218*1.33</f>
        <v>18.62</v>
      </c>
      <c r="C218" s="290">
        <v>14</v>
      </c>
      <c r="D218" s="286"/>
      <c r="E218" s="287"/>
      <c r="F218" s="287"/>
      <c r="G218" s="287"/>
      <c r="H218" s="290"/>
      <c r="I218" s="364"/>
      <c r="J218" s="364"/>
      <c r="K218" s="14"/>
      <c r="N218" s="84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s="3" customFormat="1" ht="24.75" customHeight="1">
      <c r="A219" s="285" t="s">
        <v>26</v>
      </c>
      <c r="B219" s="290">
        <f>C219*1.19</f>
        <v>16.66</v>
      </c>
      <c r="C219" s="290">
        <v>14</v>
      </c>
      <c r="D219" s="286"/>
      <c r="E219" s="287"/>
      <c r="F219" s="287"/>
      <c r="G219" s="287"/>
      <c r="H219" s="290"/>
      <c r="I219" s="364"/>
      <c r="J219" s="364"/>
      <c r="K219" s="14"/>
      <c r="N219" s="84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s="12" customFormat="1" ht="39" customHeight="1">
      <c r="A220" s="298" t="s">
        <v>294</v>
      </c>
      <c r="B220" s="290">
        <v>8</v>
      </c>
      <c r="C220" s="290">
        <v>7.5</v>
      </c>
      <c r="D220" s="286"/>
      <c r="E220" s="287"/>
      <c r="F220" s="287"/>
      <c r="G220" s="287"/>
      <c r="H220" s="290"/>
      <c r="I220" s="364"/>
      <c r="J220" s="364"/>
      <c r="K220" s="14"/>
      <c r="N220" s="84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</row>
    <row r="221" spans="1:36" s="18" customFormat="1" ht="24.75" customHeight="1">
      <c r="A221" s="285" t="s">
        <v>27</v>
      </c>
      <c r="B221" s="290">
        <v>8</v>
      </c>
      <c r="C221" s="290">
        <v>8</v>
      </c>
      <c r="D221" s="286"/>
      <c r="E221" s="287"/>
      <c r="F221" s="287"/>
      <c r="G221" s="287"/>
      <c r="H221" s="290"/>
      <c r="I221" s="364"/>
      <c r="J221" s="364"/>
      <c r="K221" s="14"/>
      <c r="N221" s="8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</row>
    <row r="222" spans="1:36" s="18" customFormat="1" ht="24.75" customHeight="1">
      <c r="A222" s="285" t="s">
        <v>68</v>
      </c>
      <c r="B222" s="290">
        <v>2</v>
      </c>
      <c r="C222" s="286">
        <v>1</v>
      </c>
      <c r="D222" s="270"/>
      <c r="E222" s="271"/>
      <c r="F222" s="271"/>
      <c r="G222" s="271"/>
      <c r="H222" s="272"/>
      <c r="I222" s="273"/>
      <c r="J222" s="273"/>
      <c r="K222" s="14"/>
      <c r="N222" s="8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</row>
    <row r="223" spans="1:36" s="18" customFormat="1" ht="24.75" customHeight="1">
      <c r="A223" s="269" t="s">
        <v>93</v>
      </c>
      <c r="B223" s="321">
        <v>5</v>
      </c>
      <c r="C223" s="321">
        <v>5</v>
      </c>
      <c r="D223" s="286"/>
      <c r="E223" s="361"/>
      <c r="F223" s="361"/>
      <c r="G223" s="361"/>
      <c r="H223" s="362"/>
      <c r="I223" s="363"/>
      <c r="J223" s="363"/>
      <c r="K223" s="14"/>
      <c r="N223" s="8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</row>
    <row r="224" spans="1:36" s="18" customFormat="1" ht="24.75" customHeight="1">
      <c r="A224" s="501" t="s">
        <v>527</v>
      </c>
      <c r="B224" s="501"/>
      <c r="C224" s="501"/>
      <c r="D224" s="113">
        <v>100</v>
      </c>
      <c r="E224" s="36">
        <v>9.2</v>
      </c>
      <c r="F224" s="36">
        <v>8.5</v>
      </c>
      <c r="G224" s="36">
        <v>10.3</v>
      </c>
      <c r="H224" s="75">
        <f>E224*4+F224*9+G224*4</f>
        <v>154.5</v>
      </c>
      <c r="I224" s="192">
        <v>0.4</v>
      </c>
      <c r="J224" s="113" t="s">
        <v>334</v>
      </c>
      <c r="K224" s="14"/>
      <c r="N224" s="8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</row>
    <row r="225" spans="1:36" s="18" customFormat="1" ht="24.75" customHeight="1">
      <c r="A225" s="366" t="s">
        <v>60</v>
      </c>
      <c r="B225" s="328">
        <f>C225*1.35</f>
        <v>114.75000000000001</v>
      </c>
      <c r="C225" s="265">
        <v>85</v>
      </c>
      <c r="D225" s="329"/>
      <c r="E225" s="367"/>
      <c r="F225" s="367"/>
      <c r="G225" s="367"/>
      <c r="H225" s="329"/>
      <c r="I225" s="318"/>
      <c r="J225" s="318"/>
      <c r="K225" s="14"/>
      <c r="N225" s="8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</row>
    <row r="226" spans="1:14" ht="24.75" customHeight="1">
      <c r="A226" s="366" t="s">
        <v>72</v>
      </c>
      <c r="B226" s="300">
        <f>C226*1.18</f>
        <v>100.3</v>
      </c>
      <c r="C226" s="265">
        <v>85</v>
      </c>
      <c r="D226" s="368"/>
      <c r="E226" s="369"/>
      <c r="F226" s="369"/>
      <c r="G226" s="369"/>
      <c r="H226" s="370"/>
      <c r="I226" s="315"/>
      <c r="J226" s="315"/>
      <c r="K226" s="14"/>
      <c r="L226" s="24"/>
      <c r="M226" s="24"/>
      <c r="N226" s="62"/>
    </row>
    <row r="227" spans="1:36" s="18" customFormat="1" ht="24.75" customHeight="1">
      <c r="A227" s="366" t="s">
        <v>400</v>
      </c>
      <c r="B227" s="371">
        <f>C227</f>
        <v>85</v>
      </c>
      <c r="C227" s="265">
        <v>85</v>
      </c>
      <c r="D227" s="368"/>
      <c r="E227" s="369"/>
      <c r="F227" s="369"/>
      <c r="G227" s="369"/>
      <c r="H227" s="370"/>
      <c r="I227" s="315"/>
      <c r="J227" s="315"/>
      <c r="K227" s="14"/>
      <c r="N227" s="8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</row>
    <row r="228" spans="1:36" s="18" customFormat="1" ht="24.75" customHeight="1">
      <c r="A228" s="269" t="s">
        <v>26</v>
      </c>
      <c r="B228" s="272">
        <f>C228*1.19</f>
        <v>10.709999999999999</v>
      </c>
      <c r="C228" s="270">
        <v>9</v>
      </c>
      <c r="D228" s="355"/>
      <c r="E228" s="356"/>
      <c r="F228" s="356"/>
      <c r="G228" s="356"/>
      <c r="H228" s="372"/>
      <c r="I228" s="360"/>
      <c r="J228" s="358"/>
      <c r="K228" s="14"/>
      <c r="L228" s="29"/>
      <c r="M228" s="82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</row>
    <row r="229" spans="1:36" s="18" customFormat="1" ht="24.75" customHeight="1">
      <c r="A229" s="269" t="s">
        <v>29</v>
      </c>
      <c r="B229" s="270">
        <v>8</v>
      </c>
      <c r="C229" s="270">
        <v>8</v>
      </c>
      <c r="D229" s="355"/>
      <c r="E229" s="356"/>
      <c r="F229" s="356"/>
      <c r="G229" s="356"/>
      <c r="H229" s="372"/>
      <c r="I229" s="357"/>
      <c r="J229" s="373"/>
      <c r="K229" s="14"/>
      <c r="L229" s="29"/>
      <c r="M229" s="82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</row>
    <row r="230" spans="1:36" s="18" customFormat="1" ht="24.75" customHeight="1">
      <c r="A230" s="269" t="s">
        <v>36</v>
      </c>
      <c r="B230" s="270">
        <v>9</v>
      </c>
      <c r="C230" s="270">
        <v>9</v>
      </c>
      <c r="D230" s="355"/>
      <c r="E230" s="356"/>
      <c r="F230" s="356"/>
      <c r="G230" s="356"/>
      <c r="H230" s="372"/>
      <c r="I230" s="357"/>
      <c r="J230" s="373"/>
      <c r="K230" s="14"/>
      <c r="L230" s="29"/>
      <c r="M230" s="82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</row>
    <row r="231" spans="1:36" s="18" customFormat="1" ht="24.75" customHeight="1">
      <c r="A231" s="280" t="s">
        <v>196</v>
      </c>
      <c r="B231" s="281">
        <v>10</v>
      </c>
      <c r="C231" s="281">
        <v>10</v>
      </c>
      <c r="D231" s="305"/>
      <c r="E231" s="283"/>
      <c r="F231" s="283"/>
      <c r="G231" s="283"/>
      <c r="H231" s="305"/>
      <c r="I231" s="284"/>
      <c r="J231" s="284"/>
      <c r="K231" s="10"/>
      <c r="L231" s="29"/>
      <c r="M231" s="82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</row>
    <row r="232" spans="1:36" s="18" customFormat="1" ht="24.75" customHeight="1">
      <c r="A232" s="269" t="s">
        <v>20</v>
      </c>
      <c r="B232" s="270">
        <v>5</v>
      </c>
      <c r="C232" s="270">
        <v>5</v>
      </c>
      <c r="D232" s="270"/>
      <c r="E232" s="271"/>
      <c r="F232" s="271"/>
      <c r="G232" s="271"/>
      <c r="H232" s="75"/>
      <c r="I232" s="309"/>
      <c r="J232" s="310"/>
      <c r="K232" s="10"/>
      <c r="L232" s="29"/>
      <c r="M232" s="82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</row>
    <row r="233" spans="1:36" s="18" customFormat="1" ht="24.75" customHeight="1">
      <c r="A233" s="269" t="s">
        <v>401</v>
      </c>
      <c r="B233" s="270">
        <v>7</v>
      </c>
      <c r="C233" s="270">
        <v>7</v>
      </c>
      <c r="D233" s="355"/>
      <c r="E233" s="356"/>
      <c r="F233" s="356"/>
      <c r="G233" s="356"/>
      <c r="H233" s="372"/>
      <c r="I233" s="357"/>
      <c r="J233" s="373"/>
      <c r="K233" s="10"/>
      <c r="L233" s="29"/>
      <c r="M233" s="82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</row>
    <row r="234" spans="1:36" s="18" customFormat="1" ht="24.75" customHeight="1">
      <c r="A234" s="501" t="s">
        <v>154</v>
      </c>
      <c r="B234" s="501"/>
      <c r="C234" s="501"/>
      <c r="D234" s="113">
        <v>200</v>
      </c>
      <c r="E234" s="201">
        <v>2.9</v>
      </c>
      <c r="F234" s="201">
        <v>3.6</v>
      </c>
      <c r="G234" s="201">
        <v>46.5</v>
      </c>
      <c r="H234" s="75">
        <f>E234*4+F234*9+G234*4</f>
        <v>230</v>
      </c>
      <c r="I234" s="192">
        <v>0</v>
      </c>
      <c r="J234" s="192" t="s">
        <v>354</v>
      </c>
      <c r="K234" s="74"/>
      <c r="L234" s="29"/>
      <c r="M234" s="82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</row>
    <row r="235" spans="1:36" s="18" customFormat="1" ht="24.75" customHeight="1">
      <c r="A235" s="280" t="s">
        <v>105</v>
      </c>
      <c r="B235" s="305">
        <v>70</v>
      </c>
      <c r="C235" s="305">
        <v>70</v>
      </c>
      <c r="D235" s="281"/>
      <c r="E235" s="201"/>
      <c r="F235" s="201"/>
      <c r="G235" s="201"/>
      <c r="H235" s="202"/>
      <c r="I235" s="263"/>
      <c r="J235" s="263"/>
      <c r="K235" s="74"/>
      <c r="L235" s="29"/>
      <c r="M235" s="82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</row>
    <row r="236" spans="1:13" ht="24.75" customHeight="1">
      <c r="A236" s="285" t="s">
        <v>27</v>
      </c>
      <c r="B236" s="290">
        <v>5</v>
      </c>
      <c r="C236" s="290">
        <v>5</v>
      </c>
      <c r="D236" s="286"/>
      <c r="E236" s="287"/>
      <c r="F236" s="287"/>
      <c r="G236" s="287"/>
      <c r="H236" s="287"/>
      <c r="I236" s="288"/>
      <c r="J236" s="288"/>
      <c r="K236" s="74"/>
      <c r="L236" s="24"/>
      <c r="M236" s="24"/>
    </row>
    <row r="237" spans="1:36" s="18" customFormat="1" ht="24.75" customHeight="1">
      <c r="A237" s="501" t="s">
        <v>58</v>
      </c>
      <c r="B237" s="501"/>
      <c r="C237" s="501"/>
      <c r="D237" s="227">
        <v>200</v>
      </c>
      <c r="E237" s="201">
        <v>0.7</v>
      </c>
      <c r="F237" s="201">
        <v>0.1</v>
      </c>
      <c r="G237" s="201">
        <v>21.7</v>
      </c>
      <c r="H237" s="75">
        <f>E237*4+F237*9+G237*4</f>
        <v>90.5</v>
      </c>
      <c r="I237" s="192">
        <v>0.16</v>
      </c>
      <c r="J237" s="192" t="s">
        <v>351</v>
      </c>
      <c r="K237" s="7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</row>
    <row r="238" spans="1:36" s="18" customFormat="1" ht="24.75" customHeight="1">
      <c r="A238" s="285" t="s">
        <v>64</v>
      </c>
      <c r="B238" s="286">
        <v>20</v>
      </c>
      <c r="C238" s="286">
        <v>20</v>
      </c>
      <c r="D238" s="286"/>
      <c r="E238" s="287"/>
      <c r="F238" s="287"/>
      <c r="G238" s="287"/>
      <c r="H238" s="290"/>
      <c r="I238" s="288"/>
      <c r="J238" s="288"/>
      <c r="K238" s="7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</row>
    <row r="239" spans="1:36" s="18" customFormat="1" ht="24.75" customHeight="1">
      <c r="A239" s="285" t="s">
        <v>12</v>
      </c>
      <c r="B239" s="286">
        <v>15</v>
      </c>
      <c r="C239" s="286">
        <v>15</v>
      </c>
      <c r="D239" s="286"/>
      <c r="E239" s="287"/>
      <c r="F239" s="287"/>
      <c r="G239" s="287"/>
      <c r="H239" s="287"/>
      <c r="I239" s="288"/>
      <c r="J239" s="287"/>
      <c r="K239" s="7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</row>
    <row r="240" spans="1:13" ht="24.75" customHeight="1">
      <c r="A240" s="501" t="s">
        <v>267</v>
      </c>
      <c r="B240" s="501"/>
      <c r="C240" s="501"/>
      <c r="D240" s="113">
        <v>50</v>
      </c>
      <c r="E240" s="36">
        <v>3.8</v>
      </c>
      <c r="F240" s="36">
        <v>0.5</v>
      </c>
      <c r="G240" s="36">
        <v>23.4</v>
      </c>
      <c r="H240" s="75">
        <v>115</v>
      </c>
      <c r="I240" s="192">
        <v>0</v>
      </c>
      <c r="J240" s="192"/>
      <c r="K240" s="74"/>
      <c r="L240" s="24"/>
      <c r="M240" s="24"/>
    </row>
    <row r="241" spans="1:13" ht="24.75" customHeight="1">
      <c r="A241" s="506" t="s">
        <v>70</v>
      </c>
      <c r="B241" s="506"/>
      <c r="C241" s="506"/>
      <c r="D241" s="227">
        <v>30</v>
      </c>
      <c r="E241" s="201">
        <v>2</v>
      </c>
      <c r="F241" s="201">
        <v>0.4</v>
      </c>
      <c r="G241" s="201">
        <v>10</v>
      </c>
      <c r="H241" s="202">
        <v>52</v>
      </c>
      <c r="I241" s="263">
        <v>0</v>
      </c>
      <c r="J241" s="263"/>
      <c r="K241" s="74"/>
      <c r="L241" s="24"/>
      <c r="M241" s="24"/>
    </row>
    <row r="242" spans="1:13" ht="24.75" customHeight="1">
      <c r="A242" s="510" t="s">
        <v>59</v>
      </c>
      <c r="B242" s="510"/>
      <c r="C242" s="510"/>
      <c r="D242" s="510"/>
      <c r="E242" s="36">
        <f>SUM(E243:E258)</f>
        <v>2.2</v>
      </c>
      <c r="F242" s="36">
        <f>SUM(F243:F258)</f>
        <v>5.7</v>
      </c>
      <c r="G242" s="36">
        <f>SUM(G243:G258)</f>
        <v>49.5</v>
      </c>
      <c r="H242" s="75">
        <f>SUM(H243:H258)</f>
        <v>258.1</v>
      </c>
      <c r="I242" s="192">
        <f>I243+I258</f>
        <v>20.58</v>
      </c>
      <c r="J242" s="36"/>
      <c r="K242" s="74"/>
      <c r="L242" s="24"/>
      <c r="M242" s="24"/>
    </row>
    <row r="243" spans="1:13" ht="24.75" customHeight="1">
      <c r="A243" s="496" t="s">
        <v>133</v>
      </c>
      <c r="B243" s="496"/>
      <c r="C243" s="496"/>
      <c r="D243" s="374">
        <v>90</v>
      </c>
      <c r="E243" s="369">
        <v>2.1</v>
      </c>
      <c r="F243" s="369">
        <v>5.7</v>
      </c>
      <c r="G243" s="369">
        <v>27.5</v>
      </c>
      <c r="H243" s="75">
        <f>E243*4+F243*9+G243*4</f>
        <v>169.7</v>
      </c>
      <c r="I243" s="192">
        <v>1.58</v>
      </c>
      <c r="J243" s="263" t="s">
        <v>505</v>
      </c>
      <c r="K243" s="74"/>
      <c r="L243" s="24"/>
      <c r="M243" s="24"/>
    </row>
    <row r="244" spans="1:36" s="18" customFormat="1" ht="24.75" customHeight="1">
      <c r="A244" s="375" t="s">
        <v>118</v>
      </c>
      <c r="B244" s="376"/>
      <c r="C244" s="337">
        <v>58</v>
      </c>
      <c r="D244" s="329"/>
      <c r="E244" s="367"/>
      <c r="F244" s="367"/>
      <c r="G244" s="367"/>
      <c r="H244" s="329"/>
      <c r="I244" s="318"/>
      <c r="J244" s="318"/>
      <c r="K244" s="7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</row>
    <row r="245" spans="1:13" ht="24.75" customHeight="1">
      <c r="A245" s="291" t="s">
        <v>28</v>
      </c>
      <c r="B245" s="329">
        <v>37.50000000000001</v>
      </c>
      <c r="C245" s="329">
        <v>37.50000000000001</v>
      </c>
      <c r="D245" s="329"/>
      <c r="E245" s="367"/>
      <c r="F245" s="367"/>
      <c r="G245" s="367"/>
      <c r="H245" s="376"/>
      <c r="I245" s="318"/>
      <c r="J245" s="318"/>
      <c r="K245" s="74"/>
      <c r="L245" s="24"/>
      <c r="M245" s="24"/>
    </row>
    <row r="246" spans="1:36" s="18" customFormat="1" ht="24.75" customHeight="1">
      <c r="A246" s="280" t="s">
        <v>148</v>
      </c>
      <c r="B246" s="305">
        <v>8</v>
      </c>
      <c r="C246" s="305">
        <v>8</v>
      </c>
      <c r="D246" s="305"/>
      <c r="E246" s="283"/>
      <c r="F246" s="283"/>
      <c r="G246" s="283"/>
      <c r="H246" s="305"/>
      <c r="I246" s="284"/>
      <c r="J246" s="284"/>
      <c r="K246" s="7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</row>
    <row r="247" spans="1:13" ht="24.75" customHeight="1">
      <c r="A247" s="291" t="s">
        <v>12</v>
      </c>
      <c r="B247" s="367">
        <v>2.7</v>
      </c>
      <c r="C247" s="367">
        <v>2.7</v>
      </c>
      <c r="D247" s="329"/>
      <c r="E247" s="367"/>
      <c r="F247" s="367"/>
      <c r="G247" s="367"/>
      <c r="H247" s="329"/>
      <c r="I247" s="318"/>
      <c r="J247" s="318"/>
      <c r="K247" s="74"/>
      <c r="L247" s="24"/>
      <c r="M247" s="24"/>
    </row>
    <row r="248" spans="1:36" s="18" customFormat="1" ht="24.75" customHeight="1">
      <c r="A248" s="291" t="s">
        <v>27</v>
      </c>
      <c r="B248" s="329">
        <v>4</v>
      </c>
      <c r="C248" s="329">
        <v>4</v>
      </c>
      <c r="D248" s="329"/>
      <c r="E248" s="367"/>
      <c r="F248" s="367"/>
      <c r="G248" s="367"/>
      <c r="H248" s="329"/>
      <c r="I248" s="318"/>
      <c r="J248" s="318"/>
      <c r="K248" s="10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</row>
    <row r="249" spans="1:36" s="18" customFormat="1" ht="24.75" customHeight="1" thickBot="1">
      <c r="A249" s="269" t="s">
        <v>29</v>
      </c>
      <c r="B249" s="329">
        <v>6</v>
      </c>
      <c r="C249" s="329">
        <v>6</v>
      </c>
      <c r="D249" s="329"/>
      <c r="E249" s="367"/>
      <c r="F249" s="367"/>
      <c r="G249" s="367"/>
      <c r="H249" s="329"/>
      <c r="I249" s="318"/>
      <c r="J249" s="318"/>
      <c r="K249" s="10"/>
      <c r="L249" s="115" t="s">
        <v>38</v>
      </c>
      <c r="M249" s="78"/>
      <c r="N249" s="8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</row>
    <row r="250" spans="1:36" s="18" customFormat="1" ht="24.75" customHeight="1">
      <c r="A250" s="291" t="s">
        <v>100</v>
      </c>
      <c r="B250" s="367">
        <v>1.4</v>
      </c>
      <c r="C250" s="367">
        <v>1.4</v>
      </c>
      <c r="D250" s="329"/>
      <c r="E250" s="367"/>
      <c r="F250" s="367"/>
      <c r="G250" s="367"/>
      <c r="H250" s="329"/>
      <c r="I250" s="318"/>
      <c r="J250" s="318"/>
      <c r="K250" s="10"/>
      <c r="L250" s="42" t="s">
        <v>70</v>
      </c>
      <c r="M250" s="78">
        <f>D351+D377</f>
        <v>110</v>
      </c>
      <c r="N250" s="8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</row>
    <row r="251" spans="1:36" s="3" customFormat="1" ht="24.75" customHeight="1">
      <c r="A251" s="291" t="s">
        <v>218</v>
      </c>
      <c r="B251" s="367">
        <v>0.36</v>
      </c>
      <c r="C251" s="367">
        <v>0.36</v>
      </c>
      <c r="D251" s="329"/>
      <c r="E251" s="367"/>
      <c r="F251" s="367"/>
      <c r="G251" s="367"/>
      <c r="H251" s="329"/>
      <c r="I251" s="318"/>
      <c r="J251" s="318"/>
      <c r="K251" s="10"/>
      <c r="L251" s="25" t="s">
        <v>80</v>
      </c>
      <c r="M251" s="78">
        <f>B305+D350+D378+D353</f>
        <v>245</v>
      </c>
      <c r="N251" s="84">
        <f>D305+D350+D378</f>
        <v>125</v>
      </c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s="18" customFormat="1" ht="24.75" customHeight="1">
      <c r="A252" s="274" t="s">
        <v>149</v>
      </c>
      <c r="B252" s="287">
        <v>0.5</v>
      </c>
      <c r="C252" s="287">
        <v>0.5</v>
      </c>
      <c r="D252" s="290"/>
      <c r="E252" s="287"/>
      <c r="F252" s="287"/>
      <c r="G252" s="287"/>
      <c r="H252" s="290"/>
      <c r="I252" s="288"/>
      <c r="J252" s="288"/>
      <c r="K252" s="10"/>
      <c r="L252" s="25" t="s">
        <v>81</v>
      </c>
      <c r="M252" s="78">
        <f>B369+B346</f>
        <v>4</v>
      </c>
      <c r="N252" s="8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</row>
    <row r="253" spans="1:36" s="18" customFormat="1" ht="24.75" customHeight="1">
      <c r="A253" s="375" t="s">
        <v>119</v>
      </c>
      <c r="B253" s="329"/>
      <c r="C253" s="337">
        <v>41.25</v>
      </c>
      <c r="D253" s="329"/>
      <c r="E253" s="367"/>
      <c r="F253" s="367"/>
      <c r="G253" s="367"/>
      <c r="H253" s="329"/>
      <c r="I253" s="318"/>
      <c r="J253" s="318"/>
      <c r="K253" s="14"/>
      <c r="L253" s="26" t="s">
        <v>123</v>
      </c>
      <c r="M253" s="78">
        <f>B371+B297+B298</f>
        <v>82</v>
      </c>
      <c r="N253" s="8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</row>
    <row r="254" spans="1:36" s="18" customFormat="1" ht="68.25" customHeight="1">
      <c r="A254" s="276" t="s">
        <v>171</v>
      </c>
      <c r="B254" s="272">
        <f>C254*1.43</f>
        <v>48.62</v>
      </c>
      <c r="C254" s="290">
        <v>34</v>
      </c>
      <c r="D254" s="290"/>
      <c r="E254" s="287"/>
      <c r="F254" s="287"/>
      <c r="G254" s="287"/>
      <c r="H254" s="290"/>
      <c r="I254" s="288"/>
      <c r="J254" s="288"/>
      <c r="K254" s="14"/>
      <c r="L254" s="26"/>
      <c r="M254" s="78"/>
      <c r="N254" s="8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</row>
    <row r="255" spans="1:36" s="18" customFormat="1" ht="24.75" customHeight="1">
      <c r="A255" s="291" t="s">
        <v>12</v>
      </c>
      <c r="B255" s="329">
        <v>8</v>
      </c>
      <c r="C255" s="329">
        <v>8</v>
      </c>
      <c r="D255" s="329"/>
      <c r="E255" s="367"/>
      <c r="F255" s="367"/>
      <c r="G255" s="367"/>
      <c r="H255" s="329"/>
      <c r="I255" s="318"/>
      <c r="J255" s="318"/>
      <c r="K255" s="14"/>
      <c r="L255" s="25" t="s">
        <v>137</v>
      </c>
      <c r="M255" s="78">
        <f>B324</f>
        <v>27</v>
      </c>
      <c r="N255" s="8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</row>
    <row r="256" spans="1:14" ht="24.75" customHeight="1">
      <c r="A256" s="269" t="s">
        <v>209</v>
      </c>
      <c r="B256" s="290">
        <v>1.5</v>
      </c>
      <c r="C256" s="290">
        <v>1.5</v>
      </c>
      <c r="D256" s="329"/>
      <c r="E256" s="367"/>
      <c r="F256" s="367"/>
      <c r="G256" s="367"/>
      <c r="H256" s="329"/>
      <c r="I256" s="318"/>
      <c r="J256" s="318"/>
      <c r="K256" s="10"/>
      <c r="L256" s="25" t="s">
        <v>82</v>
      </c>
      <c r="M256" s="78">
        <f>+B328+B330+B337+B345+B343++B341++B359+B360+B339+B344+B318+B320+B321+B368+B367</f>
        <v>569.3119999999999</v>
      </c>
      <c r="N256" s="84"/>
    </row>
    <row r="257" spans="1:14" ht="24.75" customHeight="1">
      <c r="A257" s="269" t="s">
        <v>117</v>
      </c>
      <c r="B257" s="287">
        <v>0.5</v>
      </c>
      <c r="C257" s="287">
        <v>0.5</v>
      </c>
      <c r="D257" s="329"/>
      <c r="E257" s="367"/>
      <c r="F257" s="367"/>
      <c r="G257" s="367"/>
      <c r="H257" s="329"/>
      <c r="I257" s="318"/>
      <c r="J257" s="318"/>
      <c r="K257" s="14"/>
      <c r="L257" s="25" t="s">
        <v>83</v>
      </c>
      <c r="M257" s="78">
        <f>D313</f>
        <v>180</v>
      </c>
      <c r="N257" s="84"/>
    </row>
    <row r="258" spans="1:36" s="18" customFormat="1" ht="93" customHeight="1">
      <c r="A258" s="483" t="s">
        <v>487</v>
      </c>
      <c r="B258" s="483"/>
      <c r="C258" s="483"/>
      <c r="D258" s="227">
        <v>200</v>
      </c>
      <c r="E258" s="201">
        <v>0.1</v>
      </c>
      <c r="F258" s="201">
        <v>0</v>
      </c>
      <c r="G258" s="201">
        <v>22</v>
      </c>
      <c r="H258" s="202">
        <f>E258*4+F258*9+G258*4</f>
        <v>88.4</v>
      </c>
      <c r="I258" s="263">
        <v>19</v>
      </c>
      <c r="J258" s="292" t="s">
        <v>486</v>
      </c>
      <c r="K258" s="14"/>
      <c r="L258" s="25" t="s">
        <v>124</v>
      </c>
      <c r="M258" s="78">
        <f>D355</f>
        <v>200</v>
      </c>
      <c r="N258" s="8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</row>
    <row r="259" spans="1:36" s="18" customFormat="1" ht="24.75" customHeight="1">
      <c r="A259" s="510" t="s">
        <v>30</v>
      </c>
      <c r="B259" s="510"/>
      <c r="C259" s="510"/>
      <c r="D259" s="510"/>
      <c r="E259" s="192">
        <f>SUM(E260:E286)</f>
        <v>22.599999999999998</v>
      </c>
      <c r="F259" s="192">
        <f>SUM(F260:F286)</f>
        <v>30.7</v>
      </c>
      <c r="G259" s="192">
        <f>SUM(G260:G286)</f>
        <v>88.35499999999999</v>
      </c>
      <c r="H259" s="75">
        <f>SUM(H260:H286)</f>
        <v>720.12</v>
      </c>
      <c r="I259" s="192">
        <f>SUM(I260:I286)</f>
        <v>35.26</v>
      </c>
      <c r="J259" s="36"/>
      <c r="K259" s="14"/>
      <c r="L259" s="25" t="s">
        <v>84</v>
      </c>
      <c r="M259" s="78">
        <f>B348</f>
        <v>25</v>
      </c>
      <c r="N259" s="84">
        <f>B299+B349+B376</f>
        <v>22</v>
      </c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</row>
    <row r="260" spans="1:36" s="18" customFormat="1" ht="46.5" customHeight="1">
      <c r="A260" s="377" t="s">
        <v>592</v>
      </c>
      <c r="B260" s="377"/>
      <c r="C260" s="510" t="s">
        <v>595</v>
      </c>
      <c r="D260" s="510"/>
      <c r="E260" s="36">
        <v>0.9</v>
      </c>
      <c r="F260" s="36">
        <v>5.1</v>
      </c>
      <c r="G260" s="36">
        <v>6</v>
      </c>
      <c r="H260" s="75">
        <f>E260*4+F260*9+G260*4</f>
        <v>73.5</v>
      </c>
      <c r="I260" s="192">
        <v>3.92</v>
      </c>
      <c r="J260" s="263" t="s">
        <v>506</v>
      </c>
      <c r="K260" s="14"/>
      <c r="L260" s="25" t="s">
        <v>85</v>
      </c>
      <c r="M260" s="78">
        <f>B310+B349+B376++B299</f>
        <v>37</v>
      </c>
      <c r="N260" s="8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</row>
    <row r="261" spans="1:14" ht="24.75" customHeight="1">
      <c r="A261" s="326" t="s">
        <v>593</v>
      </c>
      <c r="B261" s="378">
        <v>63</v>
      </c>
      <c r="C261" s="270">
        <v>30</v>
      </c>
      <c r="D261" s="290"/>
      <c r="E261" s="287"/>
      <c r="F261" s="36"/>
      <c r="G261" s="36"/>
      <c r="H261" s="75"/>
      <c r="I261" s="192"/>
      <c r="J261" s="192"/>
      <c r="K261" s="14"/>
      <c r="L261" s="151" t="s">
        <v>197</v>
      </c>
      <c r="N261" s="84"/>
    </row>
    <row r="262" spans="1:36" s="18" customFormat="1" ht="24.75" customHeight="1">
      <c r="A262" s="299" t="s">
        <v>449</v>
      </c>
      <c r="B262" s="301">
        <v>12</v>
      </c>
      <c r="C262" s="286">
        <v>10</v>
      </c>
      <c r="D262" s="290"/>
      <c r="E262" s="287"/>
      <c r="F262" s="287"/>
      <c r="G262" s="287"/>
      <c r="H262" s="75"/>
      <c r="I262" s="192"/>
      <c r="J262" s="192"/>
      <c r="K262" s="14"/>
      <c r="L262" s="25" t="s">
        <v>125</v>
      </c>
      <c r="M262" s="78">
        <f>B308</f>
        <v>3</v>
      </c>
      <c r="N262" s="8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</row>
    <row r="263" spans="1:36" s="18" customFormat="1" ht="24.75" customHeight="1">
      <c r="A263" s="299" t="s">
        <v>594</v>
      </c>
      <c r="B263" s="378">
        <v>12</v>
      </c>
      <c r="C263" s="270">
        <v>10</v>
      </c>
      <c r="D263" s="290"/>
      <c r="E263" s="287"/>
      <c r="F263" s="287"/>
      <c r="G263" s="287"/>
      <c r="H263" s="286"/>
      <c r="I263" s="288"/>
      <c r="J263" s="288"/>
      <c r="K263" s="14"/>
      <c r="L263" s="25" t="s">
        <v>86</v>
      </c>
      <c r="M263" s="78">
        <f>B375</f>
        <v>0.4</v>
      </c>
      <c r="N263" s="8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</row>
    <row r="264" spans="1:14" ht="24.75" customHeight="1">
      <c r="A264" s="285" t="s">
        <v>17</v>
      </c>
      <c r="B264" s="290">
        <v>8</v>
      </c>
      <c r="C264" s="286">
        <v>7</v>
      </c>
      <c r="D264" s="286"/>
      <c r="E264" s="287"/>
      <c r="F264" s="287"/>
      <c r="G264" s="287"/>
      <c r="H264" s="290"/>
      <c r="I264" s="288"/>
      <c r="J264" s="288"/>
      <c r="K264" s="14"/>
      <c r="L264" s="26" t="s">
        <v>128</v>
      </c>
      <c r="M264" s="78">
        <f>B301+B309</f>
        <v>257</v>
      </c>
      <c r="N264" s="84"/>
    </row>
    <row r="265" spans="1:14" ht="24.75" customHeight="1">
      <c r="A265" s="285" t="s">
        <v>68</v>
      </c>
      <c r="B265" s="290">
        <v>3</v>
      </c>
      <c r="C265" s="286">
        <v>2</v>
      </c>
      <c r="D265" s="286"/>
      <c r="E265" s="287"/>
      <c r="F265" s="287"/>
      <c r="G265" s="287"/>
      <c r="H265" s="290"/>
      <c r="I265" s="288"/>
      <c r="J265" s="288"/>
      <c r="K265" s="14"/>
      <c r="L265" s="26"/>
      <c r="M265" s="78"/>
      <c r="N265" s="84"/>
    </row>
    <row r="266" spans="1:14" ht="24.75" customHeight="1">
      <c r="A266" s="482" t="s">
        <v>142</v>
      </c>
      <c r="B266" s="482"/>
      <c r="C266" s="482"/>
      <c r="D266" s="260" t="s">
        <v>240</v>
      </c>
      <c r="E266" s="201">
        <v>5.5</v>
      </c>
      <c r="F266" s="201">
        <v>15.1</v>
      </c>
      <c r="G266" s="201">
        <v>0.8749999999999999</v>
      </c>
      <c r="H266" s="202">
        <f>E266*4+F266*9+G266*4</f>
        <v>161.4</v>
      </c>
      <c r="I266" s="263">
        <v>0</v>
      </c>
      <c r="J266" s="263" t="s">
        <v>355</v>
      </c>
      <c r="K266" s="14"/>
      <c r="L266" s="26"/>
      <c r="M266" s="78">
        <f>B380</f>
        <v>206</v>
      </c>
      <c r="N266" s="84">
        <f>B301+B380</f>
        <v>333</v>
      </c>
    </row>
    <row r="267" spans="1:36" s="18" customFormat="1" ht="24.75" customHeight="1">
      <c r="A267" s="326" t="s">
        <v>143</v>
      </c>
      <c r="B267" s="379">
        <v>102</v>
      </c>
      <c r="C267" s="376">
        <v>100</v>
      </c>
      <c r="D267" s="376"/>
      <c r="E267" s="367"/>
      <c r="F267" s="367"/>
      <c r="G267" s="367"/>
      <c r="H267" s="329"/>
      <c r="I267" s="318"/>
      <c r="J267" s="318"/>
      <c r="K267" s="14"/>
      <c r="L267" s="25" t="s">
        <v>88</v>
      </c>
      <c r="M267" s="78">
        <f>B311</f>
        <v>100</v>
      </c>
      <c r="N267" s="8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</row>
    <row r="268" spans="1:36" s="18" customFormat="1" ht="24.75" customHeight="1">
      <c r="A268" s="285" t="s">
        <v>27</v>
      </c>
      <c r="B268" s="376">
        <v>5</v>
      </c>
      <c r="C268" s="376">
        <v>5</v>
      </c>
      <c r="D268" s="376"/>
      <c r="E268" s="367"/>
      <c r="F268" s="367"/>
      <c r="G268" s="367"/>
      <c r="H268" s="367"/>
      <c r="I268" s="318"/>
      <c r="J268" s="318"/>
      <c r="K268" s="14"/>
      <c r="L268" s="25" t="s">
        <v>89</v>
      </c>
      <c r="M268" s="78"/>
      <c r="N268" s="8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</row>
    <row r="269" spans="1:36" s="18" customFormat="1" ht="39.75" customHeight="1">
      <c r="A269" s="518" t="s">
        <v>524</v>
      </c>
      <c r="B269" s="518"/>
      <c r="C269" s="518"/>
      <c r="D269" s="278" t="s">
        <v>454</v>
      </c>
      <c r="E269" s="367"/>
      <c r="F269" s="367"/>
      <c r="G269" s="367"/>
      <c r="H269" s="367"/>
      <c r="I269" s="318"/>
      <c r="J269" s="318"/>
      <c r="K269" s="14"/>
      <c r="L269" s="25" t="s">
        <v>132</v>
      </c>
      <c r="M269" s="78">
        <f>+B306</f>
        <v>21</v>
      </c>
      <c r="N269" s="8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</row>
    <row r="270" spans="1:14" ht="24.75" customHeight="1">
      <c r="A270" s="501" t="s">
        <v>48</v>
      </c>
      <c r="B270" s="501"/>
      <c r="C270" s="501"/>
      <c r="D270" s="113">
        <v>150</v>
      </c>
      <c r="E270" s="36">
        <v>3.2</v>
      </c>
      <c r="F270" s="36">
        <v>4.2</v>
      </c>
      <c r="G270" s="36">
        <v>21.6</v>
      </c>
      <c r="H270" s="75">
        <f>E270*4+F270*9+G270*4</f>
        <v>137</v>
      </c>
      <c r="I270" s="192">
        <v>25.4</v>
      </c>
      <c r="J270" s="263" t="s">
        <v>356</v>
      </c>
      <c r="K270" s="14"/>
      <c r="L270" s="25" t="s">
        <v>90</v>
      </c>
      <c r="M270" s="78">
        <f>B303+B331+B373</f>
        <v>31.66</v>
      </c>
      <c r="N270" s="84">
        <f>B303+B331+B373</f>
        <v>31.66</v>
      </c>
    </row>
    <row r="271" spans="1:36" s="18" customFormat="1" ht="24.75" customHeight="1">
      <c r="A271" s="280" t="s">
        <v>21</v>
      </c>
      <c r="B271" s="290">
        <f>C271*1.33</f>
        <v>170.24</v>
      </c>
      <c r="C271" s="272">
        <v>128</v>
      </c>
      <c r="D271" s="281"/>
      <c r="E271" s="283"/>
      <c r="F271" s="283"/>
      <c r="G271" s="283"/>
      <c r="H271" s="281"/>
      <c r="I271" s="284"/>
      <c r="J271" s="284"/>
      <c r="K271" s="14"/>
      <c r="L271" s="25" t="s">
        <v>63</v>
      </c>
      <c r="M271" s="78">
        <f>+B338+B322+B361+B365</f>
        <v>26</v>
      </c>
      <c r="N271" s="84">
        <f>+B338+B361</f>
        <v>17</v>
      </c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</row>
    <row r="272" spans="1:36" s="18" customFormat="1" ht="24.75" customHeight="1" thickBot="1">
      <c r="A272" s="269" t="s">
        <v>22</v>
      </c>
      <c r="B272" s="290">
        <f>C272*1.43</f>
        <v>183.04</v>
      </c>
      <c r="C272" s="272">
        <v>128</v>
      </c>
      <c r="D272" s="272"/>
      <c r="E272" s="271"/>
      <c r="F272" s="271"/>
      <c r="G272" s="271"/>
      <c r="H272" s="272"/>
      <c r="I272" s="273"/>
      <c r="J272" s="273"/>
      <c r="K272" s="10"/>
      <c r="L272" s="27" t="s">
        <v>91</v>
      </c>
      <c r="M272" s="78">
        <f>B316</f>
        <v>40</v>
      </c>
      <c r="N272" s="8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</row>
    <row r="273" spans="1:36" s="18" customFormat="1" ht="24.75" customHeight="1">
      <c r="A273" s="285" t="s">
        <v>23</v>
      </c>
      <c r="B273" s="290">
        <f>C273*1.54</f>
        <v>197.12</v>
      </c>
      <c r="C273" s="272">
        <v>128</v>
      </c>
      <c r="D273" s="272"/>
      <c r="E273" s="271"/>
      <c r="F273" s="271"/>
      <c r="G273" s="271"/>
      <c r="H273" s="272"/>
      <c r="I273" s="273"/>
      <c r="J273" s="273"/>
      <c r="K273" s="10"/>
      <c r="L273" s="29" t="s">
        <v>200</v>
      </c>
      <c r="M273" s="82"/>
      <c r="N273" s="8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</row>
    <row r="274" spans="1:36" s="18" customFormat="1" ht="24.75" customHeight="1">
      <c r="A274" s="285" t="s">
        <v>24</v>
      </c>
      <c r="B274" s="290">
        <f>C274*1.67</f>
        <v>213.76</v>
      </c>
      <c r="C274" s="272">
        <v>128</v>
      </c>
      <c r="D274" s="272"/>
      <c r="E274" s="271"/>
      <c r="F274" s="271"/>
      <c r="G274" s="271"/>
      <c r="H274" s="272"/>
      <c r="I274" s="273"/>
      <c r="J274" s="273"/>
      <c r="K274" s="15"/>
      <c r="L274" s="29" t="s">
        <v>206</v>
      </c>
      <c r="M274" s="156"/>
      <c r="N274" s="8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</row>
    <row r="275" spans="1:36" s="18" customFormat="1" ht="24.75" customHeight="1">
      <c r="A275" s="280" t="s">
        <v>148</v>
      </c>
      <c r="B275" s="167">
        <v>24</v>
      </c>
      <c r="C275" s="167">
        <v>24</v>
      </c>
      <c r="D275" s="167"/>
      <c r="E275" s="266"/>
      <c r="F275" s="266"/>
      <c r="G275" s="266"/>
      <c r="H275" s="167"/>
      <c r="I275" s="267"/>
      <c r="J275" s="267"/>
      <c r="K275" s="10"/>
      <c r="L275" s="29"/>
      <c r="M275" s="78"/>
      <c r="N275" s="125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</row>
    <row r="276" spans="1:36" s="18" customFormat="1" ht="24.75" customHeight="1">
      <c r="A276" s="269" t="s">
        <v>27</v>
      </c>
      <c r="B276" s="272">
        <v>4</v>
      </c>
      <c r="C276" s="272">
        <v>4</v>
      </c>
      <c r="D276" s="272"/>
      <c r="E276" s="271"/>
      <c r="F276" s="271"/>
      <c r="G276" s="271"/>
      <c r="H276" s="272"/>
      <c r="I276" s="273"/>
      <c r="J276" s="273"/>
      <c r="K276" s="54"/>
      <c r="L276" s="29"/>
      <c r="M276" s="78"/>
      <c r="N276" s="8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</row>
    <row r="277" spans="1:36" s="18" customFormat="1" ht="24.75" customHeight="1">
      <c r="A277" s="381" t="s">
        <v>429</v>
      </c>
      <c r="B277" s="290"/>
      <c r="C277" s="286"/>
      <c r="D277" s="307">
        <v>50</v>
      </c>
      <c r="E277" s="36">
        <v>0.4</v>
      </c>
      <c r="F277" s="36">
        <v>0</v>
      </c>
      <c r="G277" s="36">
        <v>1.2</v>
      </c>
      <c r="H277" s="75">
        <f>E277*4+F277*9+G277*4</f>
        <v>6.4</v>
      </c>
      <c r="I277" s="192">
        <v>4.9</v>
      </c>
      <c r="J277" s="263"/>
      <c r="K277" s="14"/>
      <c r="L277" s="29"/>
      <c r="M277" s="82"/>
      <c r="N277" s="101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</row>
    <row r="278" spans="1:36" s="18" customFormat="1" ht="24.75" customHeight="1">
      <c r="A278" s="316" t="s">
        <v>210</v>
      </c>
      <c r="B278" s="329">
        <f>C278*1.05</f>
        <v>52.5</v>
      </c>
      <c r="C278" s="330">
        <v>50</v>
      </c>
      <c r="D278" s="382"/>
      <c r="E278" s="201"/>
      <c r="F278" s="201"/>
      <c r="G278" s="201"/>
      <c r="H278" s="227"/>
      <c r="I278" s="263"/>
      <c r="J278" s="263"/>
      <c r="K278" s="14"/>
      <c r="L278" s="29"/>
      <c r="M278" s="82"/>
      <c r="N278" s="101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</row>
    <row r="279" spans="1:36" s="18" customFormat="1" ht="24.75" customHeight="1">
      <c r="A279" s="291" t="s">
        <v>211</v>
      </c>
      <c r="B279" s="290">
        <f>C279*1.02</f>
        <v>51</v>
      </c>
      <c r="C279" s="330">
        <v>50</v>
      </c>
      <c r="D279" s="331"/>
      <c r="E279" s="36"/>
      <c r="F279" s="36"/>
      <c r="G279" s="36"/>
      <c r="H279" s="113"/>
      <c r="I279" s="192"/>
      <c r="J279" s="192"/>
      <c r="K279" s="71"/>
      <c r="L279" s="29"/>
      <c r="M279" s="82"/>
      <c r="N279" s="101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</row>
    <row r="280" spans="1:36" s="18" customFormat="1" ht="24.75" customHeight="1">
      <c r="A280" s="501" t="s">
        <v>561</v>
      </c>
      <c r="B280" s="501"/>
      <c r="C280" s="501"/>
      <c r="D280" s="113">
        <v>200</v>
      </c>
      <c r="E280" s="36">
        <v>0</v>
      </c>
      <c r="F280" s="36">
        <v>0</v>
      </c>
      <c r="G280" s="36">
        <v>13.6</v>
      </c>
      <c r="H280" s="75">
        <f>E280*4+F280*9+G280*4</f>
        <v>54.4</v>
      </c>
      <c r="I280" s="192">
        <v>0</v>
      </c>
      <c r="J280" s="263" t="s">
        <v>344</v>
      </c>
      <c r="K280" s="47"/>
      <c r="L280" s="29"/>
      <c r="M280" s="82"/>
      <c r="N280" s="101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</row>
    <row r="281" spans="1:36" s="18" customFormat="1" ht="40.5" customHeight="1">
      <c r="A281" s="276" t="s">
        <v>562</v>
      </c>
      <c r="B281" s="270">
        <v>0.4</v>
      </c>
      <c r="C281" s="270">
        <v>0.4</v>
      </c>
      <c r="D281" s="270"/>
      <c r="E281" s="271"/>
      <c r="F281" s="271"/>
      <c r="G281" s="271"/>
      <c r="H281" s="272"/>
      <c r="I281" s="273"/>
      <c r="J281" s="273"/>
      <c r="K281" s="47"/>
      <c r="L281" s="29"/>
      <c r="M281" s="82"/>
      <c r="N281" s="7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</row>
    <row r="282" spans="1:36" s="18" customFormat="1" ht="24.75" customHeight="1">
      <c r="A282" s="280" t="s">
        <v>12</v>
      </c>
      <c r="B282" s="281">
        <v>15</v>
      </c>
      <c r="C282" s="281">
        <v>15</v>
      </c>
      <c r="D282" s="281"/>
      <c r="E282" s="281"/>
      <c r="F282" s="281"/>
      <c r="G282" s="281"/>
      <c r="H282" s="281"/>
      <c r="I282" s="281"/>
      <c r="J282" s="271"/>
      <c r="K282" s="41"/>
      <c r="L282" s="29"/>
      <c r="M282" s="82"/>
      <c r="N282" s="7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</row>
    <row r="283" spans="1:36" s="18" customFormat="1" ht="24.75" customHeight="1">
      <c r="A283" s="506" t="s">
        <v>70</v>
      </c>
      <c r="B283" s="506"/>
      <c r="C283" s="506"/>
      <c r="D283" s="227">
        <v>50</v>
      </c>
      <c r="E283" s="201">
        <v>3.3</v>
      </c>
      <c r="F283" s="201">
        <v>0.6</v>
      </c>
      <c r="G283" s="201">
        <v>16.7</v>
      </c>
      <c r="H283" s="202">
        <f>E283*4+F283*9+G283*4</f>
        <v>85.39999999999999</v>
      </c>
      <c r="I283" s="263">
        <v>0</v>
      </c>
      <c r="J283" s="263"/>
      <c r="K283" s="10"/>
      <c r="L283" s="29"/>
      <c r="M283" s="82"/>
      <c r="N283" s="7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</row>
    <row r="284" spans="1:36" s="18" customFormat="1" ht="24.75" customHeight="1">
      <c r="A284" s="501" t="s">
        <v>267</v>
      </c>
      <c r="B284" s="501"/>
      <c r="C284" s="501"/>
      <c r="D284" s="113">
        <v>50</v>
      </c>
      <c r="E284" s="36">
        <v>4.1</v>
      </c>
      <c r="F284" s="36">
        <v>0.7</v>
      </c>
      <c r="G284" s="36">
        <v>19</v>
      </c>
      <c r="H284" s="75">
        <f>E284*4+F284*9+G284*4</f>
        <v>98.7</v>
      </c>
      <c r="I284" s="192">
        <v>0</v>
      </c>
      <c r="J284" s="192"/>
      <c r="K284" s="14"/>
      <c r="L284" s="29"/>
      <c r="M284" s="82"/>
      <c r="N284" s="7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</row>
    <row r="285" spans="1:36" s="18" customFormat="1" ht="24.75" customHeight="1">
      <c r="A285" s="510" t="s">
        <v>220</v>
      </c>
      <c r="B285" s="510"/>
      <c r="C285" s="510"/>
      <c r="D285" s="510"/>
      <c r="E285" s="510"/>
      <c r="F285" s="510"/>
      <c r="G285" s="510"/>
      <c r="H285" s="510"/>
      <c r="I285" s="510"/>
      <c r="J285" s="510"/>
      <c r="K285" s="14"/>
      <c r="L285" s="29"/>
      <c r="M285" s="82"/>
      <c r="N285" s="7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</row>
    <row r="286" spans="1:36" s="18" customFormat="1" ht="24.75" customHeight="1">
      <c r="A286" s="523" t="s">
        <v>257</v>
      </c>
      <c r="B286" s="524"/>
      <c r="C286" s="525"/>
      <c r="D286" s="227">
        <v>200</v>
      </c>
      <c r="E286" s="348">
        <v>5.2</v>
      </c>
      <c r="F286" s="383">
        <v>5</v>
      </c>
      <c r="G286" s="348">
        <v>9.38</v>
      </c>
      <c r="H286" s="384">
        <f>G286*4+F286*9+E286*4</f>
        <v>103.32000000000001</v>
      </c>
      <c r="I286" s="385">
        <v>1.04</v>
      </c>
      <c r="J286" s="385" t="s">
        <v>362</v>
      </c>
      <c r="K286" s="14"/>
      <c r="L286" s="29"/>
      <c r="M286" s="82"/>
      <c r="N286" s="7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</row>
    <row r="287" spans="1:36" s="18" customFormat="1" ht="24.75" customHeight="1">
      <c r="A287" s="280" t="s">
        <v>148</v>
      </c>
      <c r="B287" s="281">
        <v>210</v>
      </c>
      <c r="C287" s="281">
        <v>200</v>
      </c>
      <c r="D287" s="281"/>
      <c r="E287" s="283"/>
      <c r="F287" s="283"/>
      <c r="G287" s="283"/>
      <c r="H287" s="305"/>
      <c r="I287" s="284"/>
      <c r="J287" s="284"/>
      <c r="K287" s="14"/>
      <c r="L287" s="29"/>
      <c r="M287" s="82"/>
      <c r="N287" s="7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</row>
    <row r="288" spans="1:36" s="18" customFormat="1" ht="65.25" customHeight="1">
      <c r="A288" s="289" t="s">
        <v>203</v>
      </c>
      <c r="B288" s="281">
        <v>200</v>
      </c>
      <c r="C288" s="281">
        <v>200</v>
      </c>
      <c r="D288" s="282">
        <v>200</v>
      </c>
      <c r="E288" s="283"/>
      <c r="F288" s="283"/>
      <c r="G288" s="283"/>
      <c r="H288" s="305"/>
      <c r="I288" s="284"/>
      <c r="J288" s="284"/>
      <c r="K288" s="95"/>
      <c r="L288" s="29"/>
      <c r="M288" s="82"/>
      <c r="N288" s="7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</row>
    <row r="289" spans="1:36" s="18" customFormat="1" ht="65.25" customHeight="1">
      <c r="A289" s="482" t="s">
        <v>140</v>
      </c>
      <c r="B289" s="482"/>
      <c r="C289" s="482"/>
      <c r="D289" s="482"/>
      <c r="E289" s="334">
        <v>77.7</v>
      </c>
      <c r="F289" s="334">
        <f>F285+F259+F242+F169+F133+F167</f>
        <v>84.67999999999999</v>
      </c>
      <c r="G289" s="334">
        <f>G285+G259+G242+G169+G133+G167</f>
        <v>364.55499999999995</v>
      </c>
      <c r="H289" s="352">
        <f>H133+H168+H169+H242+H259+H286</f>
        <v>2694.02</v>
      </c>
      <c r="I289" s="386">
        <f>I285+I259+I242+I169+I133+I167</f>
        <v>119.99999999999999</v>
      </c>
      <c r="J289" s="334"/>
      <c r="K289" s="216"/>
      <c r="L289" s="29"/>
      <c r="M289" s="82"/>
      <c r="N289" s="7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</row>
    <row r="290" spans="1:36" s="18" customFormat="1" ht="24.75" customHeight="1">
      <c r="A290" s="493" t="s">
        <v>0</v>
      </c>
      <c r="B290" s="493"/>
      <c r="C290" s="493"/>
      <c r="D290" s="493"/>
      <c r="E290" s="493"/>
      <c r="F290" s="493"/>
      <c r="G290" s="493"/>
      <c r="H290" s="493"/>
      <c r="I290" s="493"/>
      <c r="J290" s="493"/>
      <c r="K290" s="216"/>
      <c r="L290" s="29"/>
      <c r="M290" s="82"/>
      <c r="N290" s="7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</row>
    <row r="291" spans="1:14" ht="24.75" customHeight="1">
      <c r="A291" s="493" t="s">
        <v>38</v>
      </c>
      <c r="B291" s="493"/>
      <c r="C291" s="493"/>
      <c r="D291" s="493"/>
      <c r="E291" s="493"/>
      <c r="F291" s="493"/>
      <c r="G291" s="493"/>
      <c r="H291" s="493"/>
      <c r="I291" s="493"/>
      <c r="J291" s="493"/>
      <c r="K291" s="216"/>
      <c r="N291" s="74"/>
    </row>
    <row r="292" spans="1:36" s="18" customFormat="1" ht="24.75" customHeight="1">
      <c r="A292" s="498" t="s">
        <v>2</v>
      </c>
      <c r="B292" s="497" t="s">
        <v>3</v>
      </c>
      <c r="C292" s="497" t="s">
        <v>4</v>
      </c>
      <c r="D292" s="498" t="s">
        <v>5</v>
      </c>
      <c r="E292" s="498"/>
      <c r="F292" s="498"/>
      <c r="G292" s="498"/>
      <c r="H292" s="498"/>
      <c r="I292" s="498"/>
      <c r="J292" s="526" t="s">
        <v>302</v>
      </c>
      <c r="K292" s="216"/>
      <c r="L292" s="29"/>
      <c r="M292" s="82"/>
      <c r="N292" s="7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</row>
    <row r="293" spans="1:36" s="3" customFormat="1" ht="24.75" customHeight="1">
      <c r="A293" s="498"/>
      <c r="B293" s="497"/>
      <c r="C293" s="497"/>
      <c r="D293" s="497" t="s">
        <v>6</v>
      </c>
      <c r="E293" s="485" t="s">
        <v>7</v>
      </c>
      <c r="F293" s="485" t="s">
        <v>8</v>
      </c>
      <c r="G293" s="485" t="s">
        <v>9</v>
      </c>
      <c r="H293" s="494" t="s">
        <v>10</v>
      </c>
      <c r="I293" s="527" t="s">
        <v>303</v>
      </c>
      <c r="J293" s="526"/>
      <c r="K293" s="216"/>
      <c r="N293" s="74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s="18" customFormat="1" ht="24.75" customHeight="1">
      <c r="A294" s="498"/>
      <c r="B294" s="497"/>
      <c r="C294" s="497"/>
      <c r="D294" s="497"/>
      <c r="E294" s="485"/>
      <c r="F294" s="485"/>
      <c r="G294" s="485"/>
      <c r="H294" s="494"/>
      <c r="I294" s="527"/>
      <c r="J294" s="526"/>
      <c r="K294" s="216"/>
      <c r="L294" s="29"/>
      <c r="M294" s="82"/>
      <c r="N294" s="7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</row>
    <row r="295" spans="1:36" s="18" customFormat="1" ht="24.75" customHeight="1">
      <c r="A295" s="510" t="s">
        <v>11</v>
      </c>
      <c r="B295" s="510"/>
      <c r="C295" s="510"/>
      <c r="D295" s="510"/>
      <c r="E295" s="36">
        <f>E296+E304+E307+E311+E313</f>
        <v>18.2</v>
      </c>
      <c r="F295" s="36">
        <f>F296+F304+F307+F311+F313</f>
        <v>20.8</v>
      </c>
      <c r="G295" s="36">
        <f>G296+G304+G307+G311+G313</f>
        <v>89.69999999999999</v>
      </c>
      <c r="H295" s="75">
        <f>H296+H304+H307+H311+H313</f>
        <v>618.8</v>
      </c>
      <c r="I295" s="192">
        <f>I296+I304+I307+I311+I313</f>
        <v>13.71</v>
      </c>
      <c r="J295" s="36"/>
      <c r="K295" s="216"/>
      <c r="L295" s="29"/>
      <c r="M295" s="82"/>
      <c r="N295" s="8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</row>
    <row r="296" spans="1:36" s="18" customFormat="1" ht="24.75" customHeight="1">
      <c r="A296" s="501" t="s">
        <v>285</v>
      </c>
      <c r="B296" s="501"/>
      <c r="C296" s="501"/>
      <c r="D296" s="113" t="s">
        <v>286</v>
      </c>
      <c r="E296" s="201">
        <v>6.1</v>
      </c>
      <c r="F296" s="201">
        <v>7.7</v>
      </c>
      <c r="G296" s="201">
        <v>28.4</v>
      </c>
      <c r="H296" s="202">
        <f>E296*4+F296*9+G296*4</f>
        <v>207.29999999999998</v>
      </c>
      <c r="I296" s="263">
        <v>0.3</v>
      </c>
      <c r="J296" s="293" t="s">
        <v>489</v>
      </c>
      <c r="K296" s="216"/>
      <c r="L296" s="29"/>
      <c r="M296" s="82"/>
      <c r="N296" s="8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</row>
    <row r="297" spans="1:36" s="18" customFormat="1" ht="24.75" customHeight="1">
      <c r="A297" s="269" t="s">
        <v>61</v>
      </c>
      <c r="B297" s="272">
        <v>14</v>
      </c>
      <c r="C297" s="272">
        <v>14</v>
      </c>
      <c r="D297" s="272"/>
      <c r="E297" s="271"/>
      <c r="F297" s="271"/>
      <c r="G297" s="271"/>
      <c r="H297" s="272"/>
      <c r="I297" s="273"/>
      <c r="J297" s="272"/>
      <c r="K297" s="216"/>
      <c r="L297" s="29"/>
      <c r="M297" s="82"/>
      <c r="N297" s="8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</row>
    <row r="298" spans="1:36" s="18" customFormat="1" ht="24.75" customHeight="1">
      <c r="A298" s="269" t="s">
        <v>31</v>
      </c>
      <c r="B298" s="272">
        <v>18</v>
      </c>
      <c r="C298" s="272">
        <v>18</v>
      </c>
      <c r="D298" s="272"/>
      <c r="E298" s="271"/>
      <c r="F298" s="271"/>
      <c r="G298" s="271"/>
      <c r="H298" s="272"/>
      <c r="I298" s="192"/>
      <c r="J298" s="192"/>
      <c r="K298" s="216"/>
      <c r="L298" s="29"/>
      <c r="M298" s="82"/>
      <c r="N298" s="8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</row>
    <row r="299" spans="1:36" s="18" customFormat="1" ht="24.75" customHeight="1">
      <c r="A299" s="285" t="s">
        <v>12</v>
      </c>
      <c r="B299" s="272">
        <v>5</v>
      </c>
      <c r="C299" s="272">
        <v>5</v>
      </c>
      <c r="D299" s="272"/>
      <c r="E299" s="271"/>
      <c r="F299" s="271"/>
      <c r="G299" s="271"/>
      <c r="H299" s="272"/>
      <c r="I299" s="273"/>
      <c r="J299" s="273"/>
      <c r="K299" s="216"/>
      <c r="L299" s="29"/>
      <c r="M299" s="82"/>
      <c r="N299" s="8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</row>
    <row r="300" spans="1:36" s="18" customFormat="1" ht="24.75" customHeight="1">
      <c r="A300" s="274" t="s">
        <v>149</v>
      </c>
      <c r="B300" s="271">
        <v>1.3000000000000003</v>
      </c>
      <c r="C300" s="271">
        <v>1.3000000000000003</v>
      </c>
      <c r="D300" s="272"/>
      <c r="E300" s="271"/>
      <c r="F300" s="271"/>
      <c r="G300" s="271"/>
      <c r="H300" s="272"/>
      <c r="I300" s="273"/>
      <c r="J300" s="273"/>
      <c r="K300" s="217"/>
      <c r="L300" s="29"/>
      <c r="M300" s="82"/>
      <c r="N300" s="8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</row>
    <row r="301" spans="1:36" s="18" customFormat="1" ht="24.75" customHeight="1">
      <c r="A301" s="280" t="s">
        <v>148</v>
      </c>
      <c r="B301" s="167">
        <v>127</v>
      </c>
      <c r="C301" s="167">
        <v>127</v>
      </c>
      <c r="D301" s="167"/>
      <c r="E301" s="266"/>
      <c r="F301" s="266"/>
      <c r="G301" s="266"/>
      <c r="H301" s="167"/>
      <c r="I301" s="267"/>
      <c r="J301" s="267"/>
      <c r="K301" s="216"/>
      <c r="L301" s="29"/>
      <c r="M301" s="82"/>
      <c r="N301" s="8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</row>
    <row r="302" spans="1:36" s="18" customFormat="1" ht="24.75" customHeight="1">
      <c r="A302" s="280" t="s">
        <v>108</v>
      </c>
      <c r="B302" s="272">
        <v>88</v>
      </c>
      <c r="C302" s="272">
        <v>88</v>
      </c>
      <c r="D302" s="272"/>
      <c r="E302" s="271"/>
      <c r="F302" s="271"/>
      <c r="G302" s="271"/>
      <c r="H302" s="272"/>
      <c r="I302" s="192"/>
      <c r="J302" s="192"/>
      <c r="K302" s="216"/>
      <c r="L302" s="29"/>
      <c r="M302" s="82"/>
      <c r="N302" s="8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</row>
    <row r="303" spans="1:36" s="18" customFormat="1" ht="24.75" customHeight="1">
      <c r="A303" s="269" t="s">
        <v>27</v>
      </c>
      <c r="B303" s="270">
        <v>10</v>
      </c>
      <c r="C303" s="270">
        <v>10</v>
      </c>
      <c r="D303" s="270"/>
      <c r="E303" s="271"/>
      <c r="F303" s="271"/>
      <c r="G303" s="271"/>
      <c r="H303" s="272"/>
      <c r="I303" s="273"/>
      <c r="J303" s="273"/>
      <c r="K303" s="216"/>
      <c r="L303" s="29"/>
      <c r="M303" s="82"/>
      <c r="N303" s="8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</row>
    <row r="304" spans="1:36" s="18" customFormat="1" ht="24.75" customHeight="1">
      <c r="A304" s="511" t="s">
        <v>249</v>
      </c>
      <c r="B304" s="511"/>
      <c r="C304" s="511"/>
      <c r="D304" s="113" t="s">
        <v>252</v>
      </c>
      <c r="E304" s="36">
        <v>5.4</v>
      </c>
      <c r="F304" s="36">
        <v>4.8</v>
      </c>
      <c r="G304" s="36">
        <v>11.4</v>
      </c>
      <c r="H304" s="75">
        <f>E304*4+F304*9+G304*4</f>
        <v>110.4</v>
      </c>
      <c r="I304" s="192">
        <v>0.14</v>
      </c>
      <c r="J304" s="192" t="s">
        <v>367</v>
      </c>
      <c r="K304" s="216"/>
      <c r="L304" s="29"/>
      <c r="M304" s="82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</row>
    <row r="305" spans="1:36" s="18" customFormat="1" ht="24.75" customHeight="1">
      <c r="A305" s="276" t="s">
        <v>348</v>
      </c>
      <c r="B305" s="270">
        <v>30</v>
      </c>
      <c r="C305" s="270">
        <v>30</v>
      </c>
      <c r="D305" s="113"/>
      <c r="E305" s="36"/>
      <c r="F305" s="36"/>
      <c r="G305" s="36"/>
      <c r="H305" s="36"/>
      <c r="I305" s="192"/>
      <c r="J305" s="36"/>
      <c r="K305" s="216"/>
      <c r="L305" s="29"/>
      <c r="M305" s="82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</row>
    <row r="306" spans="1:36" s="3" customFormat="1" ht="24.75" customHeight="1">
      <c r="A306" s="316" t="s">
        <v>50</v>
      </c>
      <c r="B306" s="270">
        <v>21</v>
      </c>
      <c r="C306" s="270">
        <v>20</v>
      </c>
      <c r="D306" s="113"/>
      <c r="E306" s="36"/>
      <c r="F306" s="36"/>
      <c r="G306" s="36"/>
      <c r="H306" s="75"/>
      <c r="I306" s="192"/>
      <c r="J306" s="192"/>
      <c r="K306" s="14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s="3" customFormat="1" ht="24.75" customHeight="1">
      <c r="A307" s="506" t="s">
        <v>177</v>
      </c>
      <c r="B307" s="506"/>
      <c r="C307" s="506"/>
      <c r="D307" s="227">
        <v>200</v>
      </c>
      <c r="E307" s="201">
        <v>3.1</v>
      </c>
      <c r="F307" s="201">
        <v>2.9</v>
      </c>
      <c r="G307" s="201">
        <v>21.4</v>
      </c>
      <c r="H307" s="75">
        <f>E307*4+F307*9+G307*4</f>
        <v>124.1</v>
      </c>
      <c r="I307" s="263">
        <v>0.78</v>
      </c>
      <c r="J307" s="263" t="s">
        <v>357</v>
      </c>
      <c r="K307" s="14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s="18" customFormat="1" ht="24.75" customHeight="1">
      <c r="A308" s="269" t="s">
        <v>102</v>
      </c>
      <c r="B308" s="270">
        <v>3</v>
      </c>
      <c r="C308" s="270">
        <v>3</v>
      </c>
      <c r="D308" s="270"/>
      <c r="E308" s="271"/>
      <c r="F308" s="271"/>
      <c r="G308" s="271"/>
      <c r="H308" s="272"/>
      <c r="I308" s="273"/>
      <c r="J308" s="273"/>
      <c r="K308" s="14"/>
      <c r="L308" s="29"/>
      <c r="M308" s="82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</row>
    <row r="309" spans="1:36" s="18" customFormat="1" ht="24.75" customHeight="1">
      <c r="A309" s="280" t="s">
        <v>148</v>
      </c>
      <c r="B309" s="265">
        <v>130</v>
      </c>
      <c r="C309" s="265">
        <v>130</v>
      </c>
      <c r="D309" s="265"/>
      <c r="E309" s="266"/>
      <c r="F309" s="266"/>
      <c r="G309" s="266"/>
      <c r="H309" s="266"/>
      <c r="I309" s="267"/>
      <c r="J309" s="267"/>
      <c r="K309" s="14"/>
      <c r="L309" s="29"/>
      <c r="M309" s="82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</row>
    <row r="310" spans="1:36" s="18" customFormat="1" ht="24.75" customHeight="1">
      <c r="A310" s="285" t="s">
        <v>12</v>
      </c>
      <c r="B310" s="270">
        <v>15</v>
      </c>
      <c r="C310" s="270">
        <v>15</v>
      </c>
      <c r="D310" s="265"/>
      <c r="E310" s="266"/>
      <c r="F310" s="266"/>
      <c r="G310" s="271"/>
      <c r="H310" s="271"/>
      <c r="I310" s="273"/>
      <c r="J310" s="273"/>
      <c r="K310" s="14"/>
      <c r="L310" s="29"/>
      <c r="M310" s="82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</row>
    <row r="311" spans="1:11" ht="77.25" customHeight="1">
      <c r="A311" s="322" t="s">
        <v>521</v>
      </c>
      <c r="B311" s="281">
        <v>100</v>
      </c>
      <c r="C311" s="281">
        <v>100</v>
      </c>
      <c r="D311" s="282">
        <v>100</v>
      </c>
      <c r="E311" s="279">
        <v>3.2</v>
      </c>
      <c r="F311" s="279">
        <v>5.4</v>
      </c>
      <c r="G311" s="279">
        <v>10.5</v>
      </c>
      <c r="H311" s="202">
        <f>E311*4+F311*9+G311*4</f>
        <v>103.4</v>
      </c>
      <c r="I311" s="263">
        <v>0.49</v>
      </c>
      <c r="J311" s="263"/>
      <c r="K311" s="14"/>
    </row>
    <row r="312" spans="1:11" ht="24.75" customHeight="1">
      <c r="A312" s="510" t="s">
        <v>150</v>
      </c>
      <c r="B312" s="510"/>
      <c r="C312" s="510"/>
      <c r="D312" s="510"/>
      <c r="E312" s="510"/>
      <c r="F312" s="510"/>
      <c r="G312" s="510"/>
      <c r="H312" s="510"/>
      <c r="I312" s="510"/>
      <c r="J312" s="510"/>
      <c r="K312" s="14"/>
    </row>
    <row r="313" spans="1:36" s="18" customFormat="1" ht="49.5" customHeight="1">
      <c r="A313" s="492" t="s">
        <v>337</v>
      </c>
      <c r="B313" s="492"/>
      <c r="C313" s="492"/>
      <c r="D313" s="282">
        <v>180</v>
      </c>
      <c r="E313" s="201">
        <v>0.4</v>
      </c>
      <c r="F313" s="279">
        <v>0</v>
      </c>
      <c r="G313" s="201">
        <v>18</v>
      </c>
      <c r="H313" s="202">
        <f>E313*4+F313*9+G313*4</f>
        <v>73.6</v>
      </c>
      <c r="I313" s="263">
        <v>12</v>
      </c>
      <c r="J313" s="263"/>
      <c r="K313" s="14"/>
      <c r="L313" s="29"/>
      <c r="M313" s="82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</row>
    <row r="314" spans="1:11" ht="24.75" customHeight="1">
      <c r="A314" s="510" t="s">
        <v>18</v>
      </c>
      <c r="B314" s="510"/>
      <c r="C314" s="510"/>
      <c r="D314" s="510"/>
      <c r="E314" s="36">
        <f>SUM(E315:E351)</f>
        <v>36.5</v>
      </c>
      <c r="F314" s="36">
        <f>SUM(F315:F351)</f>
        <v>39.5</v>
      </c>
      <c r="G314" s="36">
        <f>SUM(G315:G351)</f>
        <v>118.4</v>
      </c>
      <c r="H314" s="75">
        <f>H315+H323+H334+H347+H350+H351</f>
        <v>974.1999999999999</v>
      </c>
      <c r="I314" s="192">
        <f>SUM(I315:I351)</f>
        <v>116.5</v>
      </c>
      <c r="J314" s="36"/>
      <c r="K314" s="14"/>
    </row>
    <row r="315" spans="1:11" ht="24.75" customHeight="1">
      <c r="A315" s="501" t="s">
        <v>402</v>
      </c>
      <c r="B315" s="501"/>
      <c r="C315" s="501"/>
      <c r="D315" s="113">
        <v>80</v>
      </c>
      <c r="E315" s="201">
        <v>5.3</v>
      </c>
      <c r="F315" s="201">
        <v>9.5</v>
      </c>
      <c r="G315" s="201">
        <v>1.4</v>
      </c>
      <c r="H315" s="202">
        <f>E315*4+F315*9+G315*4</f>
        <v>112.3</v>
      </c>
      <c r="I315" s="263">
        <v>6.6</v>
      </c>
      <c r="J315" s="227" t="s">
        <v>334</v>
      </c>
      <c r="K315" s="14"/>
    </row>
    <row r="316" spans="1:36" s="18" customFormat="1" ht="24.75" customHeight="1">
      <c r="A316" s="276" t="s">
        <v>459</v>
      </c>
      <c r="B316" s="270">
        <v>40</v>
      </c>
      <c r="C316" s="270">
        <v>40</v>
      </c>
      <c r="D316" s="113"/>
      <c r="E316" s="36"/>
      <c r="F316" s="36"/>
      <c r="G316" s="36"/>
      <c r="H316" s="36"/>
      <c r="I316" s="192"/>
      <c r="J316" s="192"/>
      <c r="K316" s="14"/>
      <c r="L316" s="29"/>
      <c r="M316" s="82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</row>
    <row r="317" spans="1:11" ht="24.75" customHeight="1">
      <c r="A317" s="269" t="s">
        <v>210</v>
      </c>
      <c r="B317" s="272">
        <f>C317*1.05</f>
        <v>15.75</v>
      </c>
      <c r="C317" s="270">
        <v>15</v>
      </c>
      <c r="D317" s="270"/>
      <c r="E317" s="271"/>
      <c r="F317" s="271"/>
      <c r="G317" s="271"/>
      <c r="H317" s="270"/>
      <c r="I317" s="309"/>
      <c r="J317" s="310"/>
      <c r="K317" s="10"/>
    </row>
    <row r="318" spans="1:36" s="18" customFormat="1" ht="24.75" customHeight="1">
      <c r="A318" s="269" t="s">
        <v>211</v>
      </c>
      <c r="B318" s="272">
        <f>C318*1.02</f>
        <v>15.3</v>
      </c>
      <c r="C318" s="270">
        <v>15</v>
      </c>
      <c r="D318" s="270"/>
      <c r="E318" s="271"/>
      <c r="F318" s="271"/>
      <c r="G318" s="271"/>
      <c r="H318" s="272"/>
      <c r="I318" s="387"/>
      <c r="J318" s="388"/>
      <c r="K318" s="14"/>
      <c r="L318" s="29"/>
      <c r="M318" s="82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</row>
    <row r="319" spans="1:36" s="18" customFormat="1" ht="24.75" customHeight="1">
      <c r="A319" s="269" t="s">
        <v>277</v>
      </c>
      <c r="B319" s="272">
        <f>C319*1.18</f>
        <v>17.7</v>
      </c>
      <c r="C319" s="270">
        <v>15</v>
      </c>
      <c r="D319" s="270"/>
      <c r="E319" s="271"/>
      <c r="F319" s="271"/>
      <c r="G319" s="271"/>
      <c r="H319" s="272"/>
      <c r="I319" s="309"/>
      <c r="J319" s="310"/>
      <c r="K319" s="14"/>
      <c r="L319" s="29"/>
      <c r="M319" s="82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</row>
    <row r="320" spans="1:13" ht="24.75" customHeight="1">
      <c r="A320" s="276" t="s">
        <v>264</v>
      </c>
      <c r="B320" s="272">
        <f>C320*1.02</f>
        <v>15.3</v>
      </c>
      <c r="C320" s="270">
        <v>15</v>
      </c>
      <c r="D320" s="270"/>
      <c r="E320" s="271"/>
      <c r="F320" s="271"/>
      <c r="G320" s="271"/>
      <c r="H320" s="272"/>
      <c r="I320" s="309"/>
      <c r="J320" s="310"/>
      <c r="K320" s="14"/>
      <c r="L320" s="24"/>
      <c r="M320" s="24"/>
    </row>
    <row r="321" spans="1:11" s="18" customFormat="1" ht="24.75" customHeight="1">
      <c r="A321" s="269" t="s">
        <v>288</v>
      </c>
      <c r="B321" s="272">
        <f>C321*1.25</f>
        <v>6.25</v>
      </c>
      <c r="C321" s="270">
        <v>5</v>
      </c>
      <c r="D321" s="270"/>
      <c r="E321" s="271"/>
      <c r="F321" s="271"/>
      <c r="G321" s="271"/>
      <c r="H321" s="271"/>
      <c r="I321" s="387"/>
      <c r="J321" s="388"/>
      <c r="K321" s="10"/>
    </row>
    <row r="322" spans="1:36" s="18" customFormat="1" ht="24.75" customHeight="1">
      <c r="A322" s="269" t="s">
        <v>20</v>
      </c>
      <c r="B322" s="270">
        <v>5</v>
      </c>
      <c r="C322" s="270">
        <v>5</v>
      </c>
      <c r="D322" s="270"/>
      <c r="E322" s="271"/>
      <c r="F322" s="271"/>
      <c r="G322" s="271"/>
      <c r="H322" s="272"/>
      <c r="I322" s="309"/>
      <c r="J322" s="310"/>
      <c r="K322" s="55"/>
      <c r="L322" s="29"/>
      <c r="M322" s="82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</row>
    <row r="323" spans="1:36" s="18" customFormat="1" ht="35.25" customHeight="1">
      <c r="A323" s="502" t="s">
        <v>608</v>
      </c>
      <c r="B323" s="502"/>
      <c r="C323" s="502"/>
      <c r="D323" s="278" t="s">
        <v>609</v>
      </c>
      <c r="E323" s="292">
        <v>6.9</v>
      </c>
      <c r="F323" s="292">
        <v>6.8</v>
      </c>
      <c r="G323" s="292">
        <v>19.6</v>
      </c>
      <c r="H323" s="75">
        <f>E323*4+F323*9+G323*4</f>
        <v>167.2</v>
      </c>
      <c r="I323" s="192">
        <v>0.2</v>
      </c>
      <c r="J323" s="273"/>
      <c r="K323" s="64"/>
      <c r="L323" s="26"/>
      <c r="M323" s="78">
        <f>+B309++B335+B369++C290</f>
        <v>240.44</v>
      </c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</row>
    <row r="324" spans="1:36" s="18" customFormat="1" ht="35.25" customHeight="1">
      <c r="A324" s="285" t="s">
        <v>28</v>
      </c>
      <c r="B324" s="286">
        <v>27</v>
      </c>
      <c r="C324" s="286">
        <v>27</v>
      </c>
      <c r="D324" s="294"/>
      <c r="E324" s="295"/>
      <c r="F324" s="295"/>
      <c r="G324" s="295"/>
      <c r="H324" s="296"/>
      <c r="I324" s="297"/>
      <c r="J324" s="273"/>
      <c r="K324" s="64"/>
      <c r="L324" s="26"/>
      <c r="M324" s="78">
        <f>B417</f>
        <v>81.6</v>
      </c>
      <c r="N324" s="84" t="e">
        <f>#REF!+#REF!+B309+B335+#REF!+B417</f>
        <v>#REF!</v>
      </c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</row>
    <row r="325" spans="1:36" s="18" customFormat="1" ht="24.75" customHeight="1">
      <c r="A325" s="269" t="s">
        <v>29</v>
      </c>
      <c r="B325" s="286">
        <v>5.6</v>
      </c>
      <c r="C325" s="286">
        <v>5.6</v>
      </c>
      <c r="D325" s="294"/>
      <c r="E325" s="295"/>
      <c r="F325" s="295"/>
      <c r="G325" s="295"/>
      <c r="H325" s="296"/>
      <c r="I325" s="297"/>
      <c r="J325" s="273"/>
      <c r="K325" s="64"/>
      <c r="L325" s="25"/>
      <c r="M325" s="77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</row>
    <row r="326" spans="1:36" s="18" customFormat="1" ht="24.75" customHeight="1">
      <c r="A326" s="269" t="s">
        <v>108</v>
      </c>
      <c r="B326" s="286">
        <v>7</v>
      </c>
      <c r="C326" s="286">
        <v>7</v>
      </c>
      <c r="D326" s="294"/>
      <c r="E326" s="295"/>
      <c r="F326" s="295"/>
      <c r="G326" s="295"/>
      <c r="H326" s="296"/>
      <c r="I326" s="297"/>
      <c r="J326" s="273"/>
      <c r="K326" s="64"/>
      <c r="L326" s="25"/>
      <c r="M326" s="79">
        <f>C301</f>
        <v>127</v>
      </c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</row>
    <row r="327" spans="1:36" s="18" customFormat="1" ht="33" customHeight="1">
      <c r="A327" s="274" t="s">
        <v>149</v>
      </c>
      <c r="B327" s="286">
        <v>0.7</v>
      </c>
      <c r="C327" s="286">
        <v>0.7</v>
      </c>
      <c r="D327" s="294"/>
      <c r="E327" s="295"/>
      <c r="F327" s="295"/>
      <c r="G327" s="295"/>
      <c r="H327" s="296"/>
      <c r="I327" s="297"/>
      <c r="J327" s="263" t="s">
        <v>510</v>
      </c>
      <c r="K327" s="64"/>
      <c r="L327" s="25"/>
      <c r="M327" s="79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</row>
    <row r="328" spans="1:14" ht="24.75" customHeight="1">
      <c r="A328" s="298" t="s">
        <v>167</v>
      </c>
      <c r="B328" s="286">
        <v>28</v>
      </c>
      <c r="C328" s="286">
        <v>28</v>
      </c>
      <c r="D328" s="294"/>
      <c r="E328" s="295"/>
      <c r="F328" s="295"/>
      <c r="G328" s="295"/>
      <c r="H328" s="296"/>
      <c r="I328" s="297"/>
      <c r="J328" s="297"/>
      <c r="L328" s="25"/>
      <c r="M328" s="79">
        <f>B312+B333+B359+B406++B371+C294+C300+B343</f>
        <v>150.832</v>
      </c>
      <c r="N328" s="84" t="e">
        <f>#REF!+#REF!+B333+#REF!+B359+#REF!+B406+#REF!+B371</f>
        <v>#REF!</v>
      </c>
    </row>
    <row r="329" spans="1:36" s="18" customFormat="1" ht="24.75" customHeight="1">
      <c r="A329" s="285" t="s">
        <v>25</v>
      </c>
      <c r="B329" s="287">
        <f>C329*1.25</f>
        <v>17.5</v>
      </c>
      <c r="C329" s="286">
        <v>14</v>
      </c>
      <c r="D329" s="294"/>
      <c r="E329" s="295"/>
      <c r="F329" s="295"/>
      <c r="G329" s="295"/>
      <c r="H329" s="296"/>
      <c r="I329" s="297"/>
      <c r="J329" s="297"/>
      <c r="K329" s="64"/>
      <c r="L329" s="25"/>
      <c r="M329" s="79">
        <f>B322+B337+B381+B391+B340+B398</f>
        <v>159.76</v>
      </c>
      <c r="N329" s="84" t="e">
        <f>B322+B337+#REF!</f>
        <v>#REF!</v>
      </c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</row>
    <row r="330" spans="1:36" s="18" customFormat="1" ht="24.75" customHeight="1" thickBot="1">
      <c r="A330" s="285" t="s">
        <v>19</v>
      </c>
      <c r="B330" s="290">
        <f>C330*1.33</f>
        <v>18.62</v>
      </c>
      <c r="C330" s="286">
        <v>14</v>
      </c>
      <c r="D330" s="294"/>
      <c r="E330" s="295"/>
      <c r="F330" s="295"/>
      <c r="G330" s="295"/>
      <c r="H330" s="296"/>
      <c r="I330" s="297"/>
      <c r="J330" s="297"/>
      <c r="K330" s="64"/>
      <c r="L330" s="27"/>
      <c r="M330" s="79">
        <f>+B372+C298</f>
        <v>178</v>
      </c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</row>
    <row r="331" spans="1:36" s="18" customFormat="1" ht="24.75" customHeight="1">
      <c r="A331" s="285" t="s">
        <v>26</v>
      </c>
      <c r="B331" s="290">
        <f>C331*1.19</f>
        <v>16.66</v>
      </c>
      <c r="C331" s="286">
        <v>14</v>
      </c>
      <c r="D331" s="294"/>
      <c r="E331" s="295"/>
      <c r="F331" s="295"/>
      <c r="G331" s="295"/>
      <c r="H331" s="296"/>
      <c r="I331" s="297"/>
      <c r="J331" s="297"/>
      <c r="K331" s="64"/>
      <c r="L331" s="152"/>
      <c r="M331" s="82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</row>
    <row r="332" spans="1:36" s="18" customFormat="1" ht="32.25" customHeight="1">
      <c r="A332" s="507" t="s">
        <v>51</v>
      </c>
      <c r="B332" s="300">
        <v>25</v>
      </c>
      <c r="C332" s="272">
        <v>21</v>
      </c>
      <c r="D332" s="294"/>
      <c r="E332" s="295"/>
      <c r="F332" s="271"/>
      <c r="G332" s="271"/>
      <c r="H332" s="272"/>
      <c r="I332" s="273"/>
      <c r="J332" s="297"/>
      <c r="K332" s="64"/>
      <c r="L332" s="29"/>
      <c r="M332" s="156">
        <f>B373</f>
        <v>5</v>
      </c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</row>
    <row r="333" spans="1:36" s="18" customFormat="1" ht="24.75" customHeight="1">
      <c r="A333" s="285" t="s">
        <v>27</v>
      </c>
      <c r="B333" s="286">
        <v>8</v>
      </c>
      <c r="C333" s="286">
        <v>8</v>
      </c>
      <c r="D333" s="294"/>
      <c r="E333" s="295"/>
      <c r="F333" s="295"/>
      <c r="G333" s="295"/>
      <c r="H333" s="296"/>
      <c r="I333" s="297"/>
      <c r="J333" s="297"/>
      <c r="K333" s="64"/>
      <c r="L333" s="29"/>
      <c r="M333" s="82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</row>
    <row r="334" spans="1:36" s="18" customFormat="1" ht="24.75" customHeight="1">
      <c r="A334" s="520" t="s">
        <v>301</v>
      </c>
      <c r="B334" s="521"/>
      <c r="C334" s="522"/>
      <c r="D334" s="389">
        <v>300</v>
      </c>
      <c r="E334" s="201">
        <v>12.8</v>
      </c>
      <c r="F334" s="201">
        <v>20.9</v>
      </c>
      <c r="G334" s="201">
        <v>23.5</v>
      </c>
      <c r="H334" s="202">
        <f>G334*4+F334*9+E334*4</f>
        <v>333.3</v>
      </c>
      <c r="I334" s="263">
        <v>24.7</v>
      </c>
      <c r="J334" s="263" t="s">
        <v>358</v>
      </c>
      <c r="K334" s="14"/>
      <c r="L334" s="29"/>
      <c r="M334" s="82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</row>
    <row r="335" spans="1:11" ht="24.75" customHeight="1">
      <c r="A335" s="299" t="s">
        <v>60</v>
      </c>
      <c r="B335" s="301">
        <f>C335*1.36</f>
        <v>107.44000000000001</v>
      </c>
      <c r="C335" s="281">
        <v>79</v>
      </c>
      <c r="D335" s="390"/>
      <c r="E335" s="283"/>
      <c r="F335" s="283"/>
      <c r="G335" s="283"/>
      <c r="H335" s="281"/>
      <c r="I335" s="284"/>
      <c r="J335" s="281"/>
      <c r="K335" s="14"/>
    </row>
    <row r="336" spans="1:36" s="18" customFormat="1" ht="24.75" customHeight="1">
      <c r="A336" s="302" t="s">
        <v>72</v>
      </c>
      <c r="B336" s="301">
        <f>C336*1.18</f>
        <v>93.22</v>
      </c>
      <c r="C336" s="281">
        <v>79</v>
      </c>
      <c r="D336" s="389"/>
      <c r="E336" s="391"/>
      <c r="F336" s="391"/>
      <c r="G336" s="391"/>
      <c r="H336" s="202"/>
      <c r="I336" s="263"/>
      <c r="J336" s="263"/>
      <c r="K336" s="14"/>
      <c r="L336" s="29"/>
      <c r="M336" s="82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</row>
    <row r="337" spans="1:36" s="18" customFormat="1" ht="24.75" customHeight="1">
      <c r="A337" s="291" t="s">
        <v>26</v>
      </c>
      <c r="B337" s="290">
        <f>C337*1.19</f>
        <v>57.12</v>
      </c>
      <c r="C337" s="376">
        <v>48</v>
      </c>
      <c r="D337" s="390"/>
      <c r="E337" s="283"/>
      <c r="F337" s="367"/>
      <c r="G337" s="367"/>
      <c r="H337" s="329"/>
      <c r="I337" s="318"/>
      <c r="J337" s="318"/>
      <c r="K337" s="14"/>
      <c r="L337" s="29"/>
      <c r="M337" s="82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</row>
    <row r="338" spans="1:36" s="18" customFormat="1" ht="24.75" customHeight="1">
      <c r="A338" s="291" t="s">
        <v>20</v>
      </c>
      <c r="B338" s="376">
        <v>12</v>
      </c>
      <c r="C338" s="376">
        <v>12</v>
      </c>
      <c r="D338" s="390"/>
      <c r="E338" s="283"/>
      <c r="F338" s="283"/>
      <c r="G338" s="283"/>
      <c r="H338" s="281"/>
      <c r="I338" s="284"/>
      <c r="J338" s="284"/>
      <c r="K338" s="14"/>
      <c r="L338" s="29"/>
      <c r="M338" s="82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</row>
    <row r="339" spans="1:36" s="18" customFormat="1" ht="24.75" customHeight="1">
      <c r="A339" s="291" t="s">
        <v>120</v>
      </c>
      <c r="B339" s="329">
        <f>C339*1.02</f>
        <v>48.96</v>
      </c>
      <c r="C339" s="376">
        <v>48</v>
      </c>
      <c r="D339" s="392"/>
      <c r="E339" s="393"/>
      <c r="F339" s="393"/>
      <c r="G339" s="393"/>
      <c r="H339" s="394"/>
      <c r="I339" s="346"/>
      <c r="J339" s="346"/>
      <c r="K339" s="14"/>
      <c r="L339" s="29"/>
      <c r="M339" s="82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</row>
    <row r="340" spans="1:36" s="18" customFormat="1" ht="24.75" customHeight="1">
      <c r="A340" s="291" t="s">
        <v>215</v>
      </c>
      <c r="B340" s="329">
        <f>C340*1.18</f>
        <v>56.64</v>
      </c>
      <c r="C340" s="376">
        <v>48</v>
      </c>
      <c r="D340" s="392"/>
      <c r="E340" s="393"/>
      <c r="F340" s="393"/>
      <c r="G340" s="393"/>
      <c r="H340" s="394"/>
      <c r="I340" s="346"/>
      <c r="J340" s="346"/>
      <c r="K340" s="14"/>
      <c r="L340" s="29"/>
      <c r="M340" s="82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</row>
    <row r="341" spans="1:36" s="18" customFormat="1" ht="24.75" customHeight="1">
      <c r="A341" s="285" t="s">
        <v>45</v>
      </c>
      <c r="B341" s="290">
        <f>C341*1.25</f>
        <v>257.5</v>
      </c>
      <c r="C341" s="272">
        <v>206</v>
      </c>
      <c r="D341" s="272"/>
      <c r="E341" s="271"/>
      <c r="F341" s="271"/>
      <c r="G341" s="271"/>
      <c r="H341" s="272"/>
      <c r="I341" s="273"/>
      <c r="J341" s="273"/>
      <c r="K341" s="14"/>
      <c r="L341" s="29"/>
      <c r="M341" s="82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</row>
    <row r="342" spans="1:36" s="18" customFormat="1" ht="24.75" customHeight="1">
      <c r="A342" s="269" t="s">
        <v>25</v>
      </c>
      <c r="B342" s="290">
        <f>C342*1.25</f>
        <v>13</v>
      </c>
      <c r="C342" s="271">
        <v>10.4</v>
      </c>
      <c r="D342" s="272"/>
      <c r="E342" s="271"/>
      <c r="F342" s="271"/>
      <c r="G342" s="271"/>
      <c r="H342" s="270"/>
      <c r="I342" s="273"/>
      <c r="J342" s="273"/>
      <c r="K342" s="14"/>
      <c r="L342" s="29"/>
      <c r="M342" s="82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</row>
    <row r="343" spans="1:11" ht="24.75" customHeight="1">
      <c r="A343" s="269" t="s">
        <v>19</v>
      </c>
      <c r="B343" s="290">
        <f>C343*1.33</f>
        <v>13.832</v>
      </c>
      <c r="C343" s="271">
        <v>10.4</v>
      </c>
      <c r="D343" s="272"/>
      <c r="E343" s="271"/>
      <c r="F343" s="271"/>
      <c r="G343" s="271"/>
      <c r="H343" s="272"/>
      <c r="I343" s="273"/>
      <c r="J343" s="273"/>
      <c r="K343" s="14"/>
    </row>
    <row r="344" spans="1:11" ht="24.75" customHeight="1">
      <c r="A344" s="291" t="s">
        <v>26</v>
      </c>
      <c r="B344" s="290">
        <f>C344*1.19</f>
        <v>5.949999999999999</v>
      </c>
      <c r="C344" s="376">
        <v>5</v>
      </c>
      <c r="D344" s="390"/>
      <c r="E344" s="283"/>
      <c r="F344" s="367"/>
      <c r="G344" s="367"/>
      <c r="H344" s="329"/>
      <c r="I344" s="318"/>
      <c r="J344" s="318"/>
      <c r="K344" s="14"/>
    </row>
    <row r="345" spans="1:11" ht="57.75" customHeight="1">
      <c r="A345" s="298" t="s">
        <v>265</v>
      </c>
      <c r="B345" s="376">
        <v>4</v>
      </c>
      <c r="C345" s="376">
        <v>4</v>
      </c>
      <c r="D345" s="390"/>
      <c r="E345" s="283"/>
      <c r="F345" s="367"/>
      <c r="G345" s="367"/>
      <c r="H345" s="329"/>
      <c r="I345" s="318"/>
      <c r="J345" s="318"/>
      <c r="K345" s="14"/>
    </row>
    <row r="346" spans="1:11" ht="24.75" customHeight="1">
      <c r="A346" s="285" t="s">
        <v>28</v>
      </c>
      <c r="B346" s="376">
        <v>1</v>
      </c>
      <c r="C346" s="376">
        <v>1</v>
      </c>
      <c r="D346" s="390"/>
      <c r="E346" s="283"/>
      <c r="F346" s="367"/>
      <c r="G346" s="367"/>
      <c r="H346" s="329"/>
      <c r="I346" s="318"/>
      <c r="J346" s="318"/>
      <c r="K346" s="14"/>
    </row>
    <row r="347" spans="1:11" ht="24.75" customHeight="1">
      <c r="A347" s="501" t="s">
        <v>99</v>
      </c>
      <c r="B347" s="501"/>
      <c r="C347" s="501"/>
      <c r="D347" s="113">
        <v>200</v>
      </c>
      <c r="E347" s="334">
        <v>0.7</v>
      </c>
      <c r="F347" s="334">
        <v>0.4</v>
      </c>
      <c r="G347" s="334">
        <v>22</v>
      </c>
      <c r="H347" s="75">
        <f>E347*4+F347*9+G347*4</f>
        <v>94.4</v>
      </c>
      <c r="I347" s="192">
        <v>85</v>
      </c>
      <c r="J347" s="395" t="s">
        <v>470</v>
      </c>
      <c r="K347" s="14"/>
    </row>
    <row r="348" spans="1:36" s="18" customFormat="1" ht="24.75" customHeight="1">
      <c r="A348" s="269" t="s">
        <v>104</v>
      </c>
      <c r="B348" s="270">
        <v>25</v>
      </c>
      <c r="C348" s="270">
        <v>25</v>
      </c>
      <c r="D348" s="314"/>
      <c r="E348" s="334"/>
      <c r="F348" s="334"/>
      <c r="G348" s="334"/>
      <c r="H348" s="75"/>
      <c r="I348" s="192"/>
      <c r="J348" s="192"/>
      <c r="K348" s="14"/>
      <c r="L348" s="29"/>
      <c r="M348" s="82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</row>
    <row r="349" spans="1:12" ht="24.75" customHeight="1" thickBot="1">
      <c r="A349" s="285" t="s">
        <v>12</v>
      </c>
      <c r="B349" s="396">
        <v>5</v>
      </c>
      <c r="C349" s="396">
        <v>5</v>
      </c>
      <c r="D349" s="389"/>
      <c r="E349" s="397"/>
      <c r="F349" s="397"/>
      <c r="G349" s="397"/>
      <c r="H349" s="397"/>
      <c r="I349" s="398"/>
      <c r="J349" s="398"/>
      <c r="K349" s="71"/>
      <c r="L349" s="29">
        <v>4</v>
      </c>
    </row>
    <row r="350" spans="1:36" s="18" customFormat="1" ht="24.75" customHeight="1">
      <c r="A350" s="501" t="s">
        <v>267</v>
      </c>
      <c r="B350" s="501"/>
      <c r="C350" s="501"/>
      <c r="D350" s="113">
        <v>75</v>
      </c>
      <c r="E350" s="36">
        <v>6.2</v>
      </c>
      <c r="F350" s="36">
        <v>1.1</v>
      </c>
      <c r="G350" s="36">
        <v>28.5</v>
      </c>
      <c r="H350" s="75">
        <v>148</v>
      </c>
      <c r="I350" s="192">
        <v>0</v>
      </c>
      <c r="J350" s="192"/>
      <c r="K350" s="14"/>
      <c r="L350" s="42" t="s">
        <v>70</v>
      </c>
      <c r="M350" s="78">
        <f>D454+D520</f>
        <v>100</v>
      </c>
      <c r="N350" s="8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</row>
    <row r="351" spans="1:36" s="18" customFormat="1" ht="24.75" customHeight="1">
      <c r="A351" s="506" t="s">
        <v>70</v>
      </c>
      <c r="B351" s="506"/>
      <c r="C351" s="506"/>
      <c r="D351" s="227">
        <v>70</v>
      </c>
      <c r="E351" s="201">
        <v>4.6</v>
      </c>
      <c r="F351" s="201">
        <v>0.8</v>
      </c>
      <c r="G351" s="201">
        <v>23.4</v>
      </c>
      <c r="H351" s="202">
        <v>119</v>
      </c>
      <c r="I351" s="263">
        <v>0</v>
      </c>
      <c r="J351" s="263"/>
      <c r="K351" s="71"/>
      <c r="L351" s="25" t="s">
        <v>80</v>
      </c>
      <c r="M351" s="78">
        <f>B398+D453+D405+D521</f>
        <v>190</v>
      </c>
      <c r="N351" s="84">
        <f>D405+B398+D453</f>
        <v>140</v>
      </c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</row>
    <row r="352" spans="1:36" s="18" customFormat="1" ht="24.75" customHeight="1">
      <c r="A352" s="510" t="s">
        <v>59</v>
      </c>
      <c r="B352" s="510"/>
      <c r="C352" s="510"/>
      <c r="D352" s="510"/>
      <c r="E352" s="36"/>
      <c r="F352" s="36">
        <f>F353+F355</f>
        <v>1.6</v>
      </c>
      <c r="G352" s="36">
        <f>G353+G355</f>
        <v>68.6</v>
      </c>
      <c r="H352" s="75">
        <f>H353+H355</f>
        <v>295.20000000000005</v>
      </c>
      <c r="I352" s="192">
        <f>I353+I355</f>
        <v>19</v>
      </c>
      <c r="J352" s="36"/>
      <c r="K352" s="71"/>
      <c r="L352" s="25" t="s">
        <v>81</v>
      </c>
      <c r="M352" s="78">
        <f>B437+B504</f>
        <v>9.9</v>
      </c>
      <c r="N352" s="8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</row>
    <row r="353" spans="1:36" s="18" customFormat="1" ht="24.75" customHeight="1">
      <c r="A353" s="495" t="s">
        <v>563</v>
      </c>
      <c r="B353" s="495"/>
      <c r="C353" s="495"/>
      <c r="D353" s="282">
        <v>90</v>
      </c>
      <c r="E353" s="292">
        <v>1.5</v>
      </c>
      <c r="F353" s="292">
        <v>1.6</v>
      </c>
      <c r="G353" s="292">
        <v>46.6</v>
      </c>
      <c r="H353" s="75">
        <f>E353*4+F353*9+G353*4</f>
        <v>206.8</v>
      </c>
      <c r="I353" s="192">
        <v>0</v>
      </c>
      <c r="J353" s="192"/>
      <c r="K353" s="71"/>
      <c r="L353" s="26" t="s">
        <v>123</v>
      </c>
      <c r="M353" s="78">
        <f>B444</f>
        <v>49</v>
      </c>
      <c r="N353" s="8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</row>
    <row r="354" spans="1:36" s="18" customFormat="1" ht="41.25" customHeight="1">
      <c r="A354" s="513" t="s">
        <v>390</v>
      </c>
      <c r="B354" s="513"/>
      <c r="C354" s="513"/>
      <c r="D354" s="282"/>
      <c r="E354" s="292"/>
      <c r="F354" s="292"/>
      <c r="G354" s="292"/>
      <c r="H354" s="75"/>
      <c r="I354" s="192"/>
      <c r="J354" s="192"/>
      <c r="K354" s="55"/>
      <c r="L354" s="26"/>
      <c r="M354" s="78"/>
      <c r="N354" s="8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</row>
    <row r="355" spans="1:34" ht="90" customHeight="1">
      <c r="A355" s="483" t="s">
        <v>487</v>
      </c>
      <c r="B355" s="483"/>
      <c r="C355" s="483"/>
      <c r="D355" s="113">
        <v>200</v>
      </c>
      <c r="E355" s="201">
        <v>0.1</v>
      </c>
      <c r="F355" s="201">
        <v>0</v>
      </c>
      <c r="G355" s="201">
        <v>22</v>
      </c>
      <c r="H355" s="202">
        <f>E355*4+F355*9+G355*4</f>
        <v>88.4</v>
      </c>
      <c r="I355" s="263">
        <v>19</v>
      </c>
      <c r="J355" s="292" t="s">
        <v>486</v>
      </c>
      <c r="K355" s="13"/>
      <c r="L355" s="25" t="s">
        <v>137</v>
      </c>
      <c r="M355" s="78">
        <f>B419+B461+B510</f>
        <v>332.5</v>
      </c>
      <c r="N355" s="84"/>
      <c r="Y355" s="511" t="s">
        <v>473</v>
      </c>
      <c r="Z355" s="511"/>
      <c r="AA355" s="511"/>
      <c r="AB355" s="113" t="s">
        <v>340</v>
      </c>
      <c r="AC355" s="201">
        <v>6.4</v>
      </c>
      <c r="AD355" s="201">
        <v>6.5</v>
      </c>
      <c r="AE355" s="201">
        <v>47.8</v>
      </c>
      <c r="AF355" s="202">
        <f>AC355*4+AD355*9+AE355*4</f>
        <v>275.29999999999995</v>
      </c>
      <c r="AG355" s="263">
        <v>7.7</v>
      </c>
      <c r="AH355" s="192" t="s">
        <v>446</v>
      </c>
    </row>
    <row r="356" spans="1:36" s="18" customFormat="1" ht="24.75" customHeight="1">
      <c r="A356" s="510" t="s">
        <v>30</v>
      </c>
      <c r="B356" s="510"/>
      <c r="C356" s="510"/>
      <c r="D356" s="510"/>
      <c r="E356" s="36">
        <f>E357+E362+E370+E374+E377+E378+E380</f>
        <v>25.24</v>
      </c>
      <c r="F356" s="36">
        <f>F357+F362+F370+F374+F377+F378+F380</f>
        <v>22.48</v>
      </c>
      <c r="G356" s="36">
        <f>G357+G362+G370+G374+G377+G378+G380</f>
        <v>92.86</v>
      </c>
      <c r="H356" s="75">
        <f>H357+H362+H370+H374+H377+H378+H380</f>
        <v>674.7199999999999</v>
      </c>
      <c r="I356" s="192">
        <f>I357+I362+I370+I374+I377+I378+I380</f>
        <v>13.27</v>
      </c>
      <c r="J356" s="36"/>
      <c r="K356" s="43"/>
      <c r="L356" s="25" t="s">
        <v>82</v>
      </c>
      <c r="M356" s="78">
        <f>B417+B423+B425+B440+B435+B445+B446+B465+B467+B469+B470+B505+B515++B411+B412+B395+B427+B436+B438</f>
        <v>486.43199999999996</v>
      </c>
      <c r="N356" s="8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302" t="s">
        <v>67</v>
      </c>
      <c r="Z356" s="325">
        <f>AA356*1.18</f>
        <v>18.88</v>
      </c>
      <c r="AA356" s="442">
        <v>16</v>
      </c>
      <c r="AB356" s="294"/>
      <c r="AC356" s="287"/>
      <c r="AD356" s="287"/>
      <c r="AE356" s="287"/>
      <c r="AF356" s="287"/>
      <c r="AG356" s="288"/>
      <c r="AH356" s="287"/>
      <c r="AI356" s="24"/>
      <c r="AJ356" s="24"/>
    </row>
    <row r="357" spans="1:34" s="131" customFormat="1" ht="24.75" customHeight="1">
      <c r="A357" s="511" t="s">
        <v>405</v>
      </c>
      <c r="B357" s="511"/>
      <c r="C357" s="511"/>
      <c r="D357" s="399">
        <v>80</v>
      </c>
      <c r="E357" s="201">
        <v>0.7</v>
      </c>
      <c r="F357" s="201">
        <v>5</v>
      </c>
      <c r="G357" s="201">
        <v>2</v>
      </c>
      <c r="H357" s="202">
        <f>E357*4+F357*9+G357*4</f>
        <v>55.8</v>
      </c>
      <c r="I357" s="263">
        <v>11.7</v>
      </c>
      <c r="J357" s="192" t="s">
        <v>404</v>
      </c>
      <c r="K357" s="67"/>
      <c r="L357" s="25" t="s">
        <v>83</v>
      </c>
      <c r="M357" s="78">
        <f>D458+B519+B450</f>
        <v>231.3</v>
      </c>
      <c r="N357" s="185"/>
      <c r="Y357" s="299" t="s">
        <v>71</v>
      </c>
      <c r="Z357" s="443">
        <f>AA357*1.36</f>
        <v>21.76</v>
      </c>
      <c r="AA357" s="442">
        <v>16</v>
      </c>
      <c r="AB357" s="294"/>
      <c r="AC357" s="287"/>
      <c r="AD357" s="295"/>
      <c r="AE357" s="295"/>
      <c r="AF357" s="296"/>
      <c r="AG357" s="297"/>
      <c r="AH357" s="297"/>
    </row>
    <row r="358" spans="1:34" ht="24.75" customHeight="1">
      <c r="A358" s="269" t="s">
        <v>158</v>
      </c>
      <c r="B358" s="272">
        <f>C358*1.02</f>
        <v>75.48</v>
      </c>
      <c r="C358" s="270">
        <v>74</v>
      </c>
      <c r="D358" s="272"/>
      <c r="E358" s="271"/>
      <c r="F358" s="271"/>
      <c r="G358" s="271"/>
      <c r="H358" s="272"/>
      <c r="I358" s="273"/>
      <c r="J358" s="273"/>
      <c r="K358" s="11"/>
      <c r="L358" s="183" t="s">
        <v>124</v>
      </c>
      <c r="M358" s="184">
        <f>D458</f>
        <v>200</v>
      </c>
      <c r="N358" s="84"/>
      <c r="Y358" s="269" t="s">
        <v>146</v>
      </c>
      <c r="Z358" s="270">
        <v>25</v>
      </c>
      <c r="AA358" s="270">
        <v>25</v>
      </c>
      <c r="AB358" s="444"/>
      <c r="AC358" s="445"/>
      <c r="AD358" s="445"/>
      <c r="AE358" s="445"/>
      <c r="AF358" s="372"/>
      <c r="AG358" s="446"/>
      <c r="AH358" s="446"/>
    </row>
    <row r="359" spans="1:34" ht="24.75" customHeight="1">
      <c r="A359" s="269" t="s">
        <v>213</v>
      </c>
      <c r="B359" s="272">
        <f>C359*1.05</f>
        <v>77.7</v>
      </c>
      <c r="C359" s="270">
        <v>74</v>
      </c>
      <c r="D359" s="272"/>
      <c r="E359" s="271"/>
      <c r="F359" s="271"/>
      <c r="G359" s="271"/>
      <c r="H359" s="272"/>
      <c r="I359" s="273"/>
      <c r="J359" s="273"/>
      <c r="K359" s="10"/>
      <c r="L359" s="25" t="s">
        <v>84</v>
      </c>
      <c r="M359" s="78"/>
      <c r="N359" s="84">
        <f>B518+B403</f>
        <v>30</v>
      </c>
      <c r="Y359" s="291" t="s">
        <v>21</v>
      </c>
      <c r="Z359" s="290">
        <f>AA359*1.33</f>
        <v>86.45</v>
      </c>
      <c r="AA359" s="329">
        <v>65</v>
      </c>
      <c r="AB359" s="281"/>
      <c r="AC359" s="283"/>
      <c r="AD359" s="283"/>
      <c r="AE359" s="283"/>
      <c r="AF359" s="281"/>
      <c r="AG359" s="284"/>
      <c r="AH359" s="284"/>
    </row>
    <row r="360" spans="1:34" ht="24.75" customHeight="1">
      <c r="A360" s="285" t="s">
        <v>68</v>
      </c>
      <c r="B360" s="290">
        <v>3</v>
      </c>
      <c r="C360" s="286">
        <v>2</v>
      </c>
      <c r="D360" s="271"/>
      <c r="E360" s="271"/>
      <c r="F360" s="271"/>
      <c r="G360" s="271"/>
      <c r="H360" s="272"/>
      <c r="I360" s="273"/>
      <c r="J360" s="273"/>
      <c r="K360" s="10"/>
      <c r="L360" s="25" t="s">
        <v>85</v>
      </c>
      <c r="M360" s="78">
        <f>B518+B403+C452</f>
        <v>45</v>
      </c>
      <c r="N360" s="84"/>
      <c r="Y360" s="291" t="s">
        <v>22</v>
      </c>
      <c r="Z360" s="290">
        <f>AA360*1.43</f>
        <v>92.95</v>
      </c>
      <c r="AA360" s="329">
        <v>65</v>
      </c>
      <c r="AB360" s="374"/>
      <c r="AC360" s="336"/>
      <c r="AD360" s="336"/>
      <c r="AE360" s="336"/>
      <c r="AF360" s="75"/>
      <c r="AG360" s="192"/>
      <c r="AH360" s="192"/>
    </row>
    <row r="361" spans="1:34" ht="24.75" customHeight="1">
      <c r="A361" s="285" t="s">
        <v>20</v>
      </c>
      <c r="B361" s="290">
        <v>5</v>
      </c>
      <c r="C361" s="286">
        <v>5</v>
      </c>
      <c r="D361" s="272"/>
      <c r="E361" s="271"/>
      <c r="F361" s="271"/>
      <c r="G361" s="271"/>
      <c r="H361" s="272"/>
      <c r="I361" s="273"/>
      <c r="J361" s="273"/>
      <c r="K361" s="10"/>
      <c r="L361" s="195" t="s">
        <v>197</v>
      </c>
      <c r="M361" s="82">
        <f>D456</f>
        <v>30</v>
      </c>
      <c r="N361" s="84"/>
      <c r="Y361" s="285" t="s">
        <v>23</v>
      </c>
      <c r="Z361" s="290">
        <f>AA361*1.54</f>
        <v>100.10000000000001</v>
      </c>
      <c r="AA361" s="329">
        <v>65</v>
      </c>
      <c r="AB361" s="376"/>
      <c r="AC361" s="367"/>
      <c r="AD361" s="367"/>
      <c r="AE361" s="367"/>
      <c r="AF361" s="329"/>
      <c r="AG361" s="318"/>
      <c r="AH361" s="318"/>
    </row>
    <row r="362" spans="1:34" ht="24.75" customHeight="1">
      <c r="A362" s="501" t="s">
        <v>406</v>
      </c>
      <c r="B362" s="501"/>
      <c r="C362" s="501"/>
      <c r="D362" s="113">
        <v>100</v>
      </c>
      <c r="E362" s="36">
        <v>8.9</v>
      </c>
      <c r="F362" s="36">
        <v>6.4</v>
      </c>
      <c r="G362" s="36">
        <v>8.1</v>
      </c>
      <c r="H362" s="75">
        <f>E362*4+F362*9+G362*4</f>
        <v>125.6</v>
      </c>
      <c r="I362" s="263">
        <v>0.2</v>
      </c>
      <c r="J362" s="353" t="s">
        <v>408</v>
      </c>
      <c r="K362" s="10"/>
      <c r="L362" s="25" t="s">
        <v>125</v>
      </c>
      <c r="M362" s="78">
        <f>B402</f>
        <v>1</v>
      </c>
      <c r="N362" s="84"/>
      <c r="Y362" s="285" t="s">
        <v>24</v>
      </c>
      <c r="Z362" s="290">
        <f>AA362*1.67</f>
        <v>108.55</v>
      </c>
      <c r="AA362" s="329">
        <v>65</v>
      </c>
      <c r="AB362" s="376"/>
      <c r="AC362" s="367"/>
      <c r="AD362" s="367"/>
      <c r="AE362" s="367"/>
      <c r="AF362" s="329"/>
      <c r="AG362" s="318"/>
      <c r="AH362" s="318"/>
    </row>
    <row r="363" spans="1:36" s="18" customFormat="1" ht="24.75" customHeight="1">
      <c r="A363" s="366" t="s">
        <v>60</v>
      </c>
      <c r="B363" s="328">
        <f>C363*1.35</f>
        <v>106.65</v>
      </c>
      <c r="C363" s="270">
        <v>79</v>
      </c>
      <c r="D363" s="270"/>
      <c r="E363" s="271"/>
      <c r="F363" s="271"/>
      <c r="G363" s="271"/>
      <c r="H363" s="272"/>
      <c r="I363" s="309"/>
      <c r="J363" s="400"/>
      <c r="K363" s="10"/>
      <c r="L363" s="25" t="s">
        <v>86</v>
      </c>
      <c r="M363" s="78">
        <f>B517</f>
        <v>0.4</v>
      </c>
      <c r="N363" s="8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91" t="s">
        <v>25</v>
      </c>
      <c r="Z363" s="287">
        <f>AA363*1.25</f>
        <v>17.5</v>
      </c>
      <c r="AA363" s="329">
        <v>14</v>
      </c>
      <c r="AB363" s="376"/>
      <c r="AC363" s="367"/>
      <c r="AD363" s="367"/>
      <c r="AE363" s="367"/>
      <c r="AF363" s="329"/>
      <c r="AG363" s="318"/>
      <c r="AH363" s="318"/>
      <c r="AI363" s="24"/>
      <c r="AJ363" s="24"/>
    </row>
    <row r="364" spans="1:36" s="3" customFormat="1" ht="24.75" customHeight="1">
      <c r="A364" s="366" t="s">
        <v>72</v>
      </c>
      <c r="B364" s="300">
        <f>C364*1.18</f>
        <v>93.22</v>
      </c>
      <c r="C364" s="270">
        <v>79</v>
      </c>
      <c r="D364" s="270"/>
      <c r="E364" s="271"/>
      <c r="F364" s="271"/>
      <c r="G364" s="271"/>
      <c r="H364" s="272"/>
      <c r="I364" s="309"/>
      <c r="J364" s="400"/>
      <c r="K364" s="11"/>
      <c r="L364" s="25" t="s">
        <v>136</v>
      </c>
      <c r="M364" s="78">
        <f>B415</f>
        <v>21.6</v>
      </c>
      <c r="N364" s="84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291" t="s">
        <v>19</v>
      </c>
      <c r="Z364" s="287">
        <f>AA364*1.33</f>
        <v>18.62</v>
      </c>
      <c r="AA364" s="329">
        <v>14</v>
      </c>
      <c r="AB364" s="376"/>
      <c r="AC364" s="367"/>
      <c r="AD364" s="367"/>
      <c r="AE364" s="367"/>
      <c r="AF364" s="329"/>
      <c r="AG364" s="318"/>
      <c r="AH364" s="318"/>
      <c r="AI364" s="7"/>
      <c r="AJ364" s="7"/>
    </row>
    <row r="365" spans="1:36" s="18" customFormat="1" ht="24.75" customHeight="1">
      <c r="A365" s="269" t="s">
        <v>20</v>
      </c>
      <c r="B365" s="270">
        <v>4</v>
      </c>
      <c r="C365" s="270">
        <v>4</v>
      </c>
      <c r="D365" s="270"/>
      <c r="E365" s="271"/>
      <c r="F365" s="271"/>
      <c r="G365" s="271"/>
      <c r="H365" s="272"/>
      <c r="I365" s="309"/>
      <c r="J365" s="400"/>
      <c r="K365" s="11"/>
      <c r="L365" s="151" t="s">
        <v>199</v>
      </c>
      <c r="M365" s="78">
        <f>B431</f>
        <v>114.88600000000001</v>
      </c>
      <c r="N365" s="8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91" t="s">
        <v>26</v>
      </c>
      <c r="Z365" s="290">
        <f>AA365*1.19</f>
        <v>16.66</v>
      </c>
      <c r="AA365" s="329">
        <v>14</v>
      </c>
      <c r="AB365" s="376"/>
      <c r="AC365" s="367"/>
      <c r="AD365" s="367"/>
      <c r="AE365" s="367"/>
      <c r="AF365" s="329"/>
      <c r="AG365" s="318"/>
      <c r="AH365" s="318"/>
      <c r="AI365" s="24"/>
      <c r="AJ365" s="24"/>
    </row>
    <row r="366" spans="1:36" s="18" customFormat="1" ht="24.75" customHeight="1">
      <c r="A366" s="269" t="s">
        <v>235</v>
      </c>
      <c r="B366" s="270"/>
      <c r="C366" s="270">
        <v>50</v>
      </c>
      <c r="D366" s="270"/>
      <c r="E366" s="271"/>
      <c r="F366" s="271"/>
      <c r="G366" s="271"/>
      <c r="H366" s="272"/>
      <c r="I366" s="309"/>
      <c r="J366" s="400"/>
      <c r="K366" s="11"/>
      <c r="L366" s="25" t="s">
        <v>87</v>
      </c>
      <c r="M366" s="78">
        <f>B501+B400</f>
        <v>152.55</v>
      </c>
      <c r="N366" s="8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91" t="s">
        <v>27</v>
      </c>
      <c r="Z366" s="329">
        <v>8</v>
      </c>
      <c r="AA366" s="329">
        <v>8</v>
      </c>
      <c r="AB366" s="376"/>
      <c r="AC366" s="367"/>
      <c r="AD366" s="367"/>
      <c r="AE366" s="367"/>
      <c r="AF366" s="329"/>
      <c r="AG366" s="318"/>
      <c r="AH366" s="318"/>
      <c r="AI366" s="24"/>
      <c r="AJ366" s="24"/>
    </row>
    <row r="367" spans="1:34" ht="24.75" customHeight="1">
      <c r="A367" s="269" t="s">
        <v>26</v>
      </c>
      <c r="B367" s="167">
        <f>C367*1.19</f>
        <v>14.28</v>
      </c>
      <c r="C367" s="270">
        <v>12</v>
      </c>
      <c r="D367" s="270"/>
      <c r="E367" s="271"/>
      <c r="F367" s="271"/>
      <c r="G367" s="271"/>
      <c r="H367" s="272"/>
      <c r="I367" s="309"/>
      <c r="J367" s="400"/>
      <c r="K367" s="11"/>
      <c r="L367" s="25" t="s">
        <v>127</v>
      </c>
      <c r="M367" s="78"/>
      <c r="N367" s="84"/>
      <c r="Y367" s="269" t="s">
        <v>147</v>
      </c>
      <c r="Z367" s="286">
        <v>57</v>
      </c>
      <c r="AA367" s="286">
        <v>48</v>
      </c>
      <c r="AB367" s="286"/>
      <c r="AC367" s="287"/>
      <c r="AD367" s="287"/>
      <c r="AE367" s="287"/>
      <c r="AF367" s="290"/>
      <c r="AG367" s="288"/>
      <c r="AH367" s="288"/>
    </row>
    <row r="368" spans="1:34" ht="54.75" customHeight="1">
      <c r="A368" s="276" t="s">
        <v>407</v>
      </c>
      <c r="B368" s="270">
        <v>3.5</v>
      </c>
      <c r="C368" s="270">
        <v>3.5</v>
      </c>
      <c r="D368" s="270"/>
      <c r="E368" s="271"/>
      <c r="F368" s="271"/>
      <c r="G368" s="271"/>
      <c r="H368" s="272"/>
      <c r="I368" s="309"/>
      <c r="J368" s="310"/>
      <c r="K368" s="11"/>
      <c r="L368" s="26" t="s">
        <v>128</v>
      </c>
      <c r="M368" s="78">
        <f>B390++B404</f>
        <v>122.85714285714286</v>
      </c>
      <c r="N368" s="84"/>
      <c r="Y368" s="285" t="s">
        <v>68</v>
      </c>
      <c r="Z368" s="290">
        <f>AA368*1.35</f>
        <v>4.050000000000001</v>
      </c>
      <c r="AA368" s="376">
        <v>3</v>
      </c>
      <c r="AB368" s="376"/>
      <c r="AC368" s="367"/>
      <c r="AD368" s="367"/>
      <c r="AE368" s="367"/>
      <c r="AF368" s="329"/>
      <c r="AG368" s="318"/>
      <c r="AH368" s="318"/>
    </row>
    <row r="369" spans="1:36" s="18" customFormat="1" ht="24.75" customHeight="1">
      <c r="A369" s="269" t="s">
        <v>28</v>
      </c>
      <c r="B369" s="270">
        <v>3</v>
      </c>
      <c r="C369" s="270">
        <v>3</v>
      </c>
      <c r="D369" s="271"/>
      <c r="E369" s="271"/>
      <c r="F369" s="271"/>
      <c r="G369" s="271"/>
      <c r="H369" s="272"/>
      <c r="I369" s="309"/>
      <c r="J369" s="310"/>
      <c r="K369" s="11"/>
      <c r="L369" s="26"/>
      <c r="M369" s="78">
        <f>B523</f>
        <v>206</v>
      </c>
      <c r="N369" s="84">
        <f>B523</f>
        <v>206</v>
      </c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</row>
    <row r="370" spans="1:36" s="18" customFormat="1" ht="24.75" customHeight="1">
      <c r="A370" s="501" t="s">
        <v>329</v>
      </c>
      <c r="B370" s="501"/>
      <c r="C370" s="501"/>
      <c r="D370" s="113">
        <v>200</v>
      </c>
      <c r="E370" s="201">
        <v>4.5</v>
      </c>
      <c r="F370" s="201">
        <v>5.1</v>
      </c>
      <c r="G370" s="201">
        <v>31.5</v>
      </c>
      <c r="H370" s="202">
        <f>E370*4+F370*9+G370*4</f>
        <v>189.9</v>
      </c>
      <c r="I370" s="263">
        <v>0</v>
      </c>
      <c r="J370" s="263" t="s">
        <v>491</v>
      </c>
      <c r="K370" s="11"/>
      <c r="L370" s="25" t="s">
        <v>88</v>
      </c>
      <c r="M370" s="78"/>
      <c r="N370" s="8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</row>
    <row r="371" spans="1:36" s="18" customFormat="1" ht="24.75" customHeight="1">
      <c r="A371" s="269" t="s">
        <v>110</v>
      </c>
      <c r="B371" s="290">
        <v>50</v>
      </c>
      <c r="C371" s="290">
        <v>50</v>
      </c>
      <c r="D371" s="290"/>
      <c r="E371" s="287"/>
      <c r="F371" s="287"/>
      <c r="G371" s="287"/>
      <c r="H371" s="286"/>
      <c r="I371" s="288"/>
      <c r="J371" s="288"/>
      <c r="K371" s="11"/>
      <c r="L371" s="25" t="s">
        <v>89</v>
      </c>
      <c r="M371" s="78">
        <f>B428+B439+B507</f>
        <v>17</v>
      </c>
      <c r="N371" s="84">
        <f>B428+B439+B507</f>
        <v>17</v>
      </c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</row>
    <row r="372" spans="1:36" s="18" customFormat="1" ht="24.75" customHeight="1">
      <c r="A372" s="269" t="s">
        <v>108</v>
      </c>
      <c r="B372" s="290">
        <v>160</v>
      </c>
      <c r="C372" s="290">
        <v>160</v>
      </c>
      <c r="D372" s="290"/>
      <c r="E372" s="287"/>
      <c r="F372" s="287"/>
      <c r="G372" s="287"/>
      <c r="H372" s="286"/>
      <c r="I372" s="288"/>
      <c r="J372" s="288"/>
      <c r="K372" s="14"/>
      <c r="L372" s="25" t="s">
        <v>132</v>
      </c>
      <c r="M372" s="78">
        <f>B391</f>
        <v>11</v>
      </c>
      <c r="N372" s="8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</row>
    <row r="373" spans="1:14" ht="24.75" customHeight="1">
      <c r="A373" s="285" t="s">
        <v>27</v>
      </c>
      <c r="B373" s="286">
        <v>5</v>
      </c>
      <c r="C373" s="286">
        <v>5</v>
      </c>
      <c r="D373" s="113"/>
      <c r="E373" s="36"/>
      <c r="F373" s="36"/>
      <c r="G373" s="36"/>
      <c r="H373" s="36"/>
      <c r="I373" s="192"/>
      <c r="J373" s="192"/>
      <c r="K373" s="14"/>
      <c r="L373" s="25" t="s">
        <v>90</v>
      </c>
      <c r="M373" s="78">
        <f>B392+B393+B426++B448+B514+B508+B399</f>
        <v>48</v>
      </c>
      <c r="N373" s="84">
        <f>+B399+B426+B448+B508+B514</f>
        <v>41</v>
      </c>
    </row>
    <row r="374" spans="1:14" ht="24.75" customHeight="1">
      <c r="A374" s="501" t="s">
        <v>37</v>
      </c>
      <c r="B374" s="501"/>
      <c r="C374" s="501"/>
      <c r="D374" s="113">
        <v>200</v>
      </c>
      <c r="E374" s="36">
        <v>0.2</v>
      </c>
      <c r="F374" s="36">
        <v>0</v>
      </c>
      <c r="G374" s="36">
        <v>10.9</v>
      </c>
      <c r="H374" s="75">
        <f>E374*4+F374*9+G374*4</f>
        <v>44.4</v>
      </c>
      <c r="I374" s="192">
        <v>0</v>
      </c>
      <c r="J374" s="192" t="s">
        <v>344</v>
      </c>
      <c r="K374" s="1"/>
      <c r="L374" s="25" t="s">
        <v>63</v>
      </c>
      <c r="M374" s="78">
        <f>B471+B503+B413+B434</f>
        <v>27</v>
      </c>
      <c r="N374" s="84">
        <f>B413+B471+B503</f>
        <v>20</v>
      </c>
    </row>
    <row r="375" spans="1:14" ht="24.75" customHeight="1" thickBot="1">
      <c r="A375" s="269" t="s">
        <v>16</v>
      </c>
      <c r="B375" s="270">
        <v>0.4</v>
      </c>
      <c r="C375" s="270">
        <v>0.4</v>
      </c>
      <c r="D375" s="270"/>
      <c r="E375" s="271"/>
      <c r="F375" s="271"/>
      <c r="G375" s="271"/>
      <c r="H375" s="272"/>
      <c r="I375" s="273"/>
      <c r="J375" s="273"/>
      <c r="K375" s="1"/>
      <c r="L375" s="27" t="s">
        <v>91</v>
      </c>
      <c r="M375" s="78">
        <f>B389</f>
        <v>62</v>
      </c>
      <c r="N375" s="84"/>
    </row>
    <row r="376" spans="1:14" ht="24.75" customHeight="1">
      <c r="A376" s="269" t="s">
        <v>156</v>
      </c>
      <c r="B376" s="270">
        <v>12</v>
      </c>
      <c r="C376" s="270">
        <v>12</v>
      </c>
      <c r="D376" s="270"/>
      <c r="E376" s="271"/>
      <c r="F376" s="271"/>
      <c r="G376" s="271"/>
      <c r="H376" s="271"/>
      <c r="I376" s="273"/>
      <c r="J376" s="271"/>
      <c r="K376" s="1"/>
      <c r="L376" s="29" t="s">
        <v>200</v>
      </c>
      <c r="M376" s="82">
        <f>B451</f>
        <v>7</v>
      </c>
      <c r="N376" s="84"/>
    </row>
    <row r="377" spans="1:13" ht="24.75" customHeight="1">
      <c r="A377" s="506" t="s">
        <v>70</v>
      </c>
      <c r="B377" s="506"/>
      <c r="C377" s="506"/>
      <c r="D377" s="227">
        <v>40</v>
      </c>
      <c r="E377" s="201">
        <v>2.64</v>
      </c>
      <c r="F377" s="201">
        <v>0.48</v>
      </c>
      <c r="G377" s="201">
        <v>13.36</v>
      </c>
      <c r="H377" s="202">
        <v>68.32</v>
      </c>
      <c r="I377" s="263">
        <v>0</v>
      </c>
      <c r="J377" s="263"/>
      <c r="K377" s="1"/>
      <c r="L377" s="29" t="s">
        <v>206</v>
      </c>
      <c r="M377" s="156"/>
    </row>
    <row r="378" spans="1:14" s="18" customFormat="1" ht="24.75" customHeight="1">
      <c r="A378" s="501" t="s">
        <v>267</v>
      </c>
      <c r="B378" s="501"/>
      <c r="C378" s="501"/>
      <c r="D378" s="113">
        <v>50</v>
      </c>
      <c r="E378" s="36">
        <v>4.1</v>
      </c>
      <c r="F378" s="36">
        <v>0.7</v>
      </c>
      <c r="G378" s="36">
        <v>19</v>
      </c>
      <c r="H378" s="75">
        <f>E378*4+F378*9+G378*4</f>
        <v>98.7</v>
      </c>
      <c r="I378" s="192">
        <v>0</v>
      </c>
      <c r="J378" s="192"/>
      <c r="K378" s="10"/>
      <c r="L378" s="29"/>
      <c r="M378" s="82"/>
      <c r="N378" s="84"/>
    </row>
    <row r="379" spans="1:14" ht="24.75" customHeight="1">
      <c r="A379" s="510" t="s">
        <v>220</v>
      </c>
      <c r="B379" s="510"/>
      <c r="C379" s="510"/>
      <c r="D379" s="510"/>
      <c r="E379" s="510"/>
      <c r="F379" s="510"/>
      <c r="G379" s="510"/>
      <c r="H379" s="510"/>
      <c r="I379" s="510"/>
      <c r="J379" s="510"/>
      <c r="K379" s="14"/>
      <c r="N379" s="84"/>
    </row>
    <row r="380" spans="1:36" s="18" customFormat="1" ht="55.5" customHeight="1">
      <c r="A380" s="332" t="s">
        <v>246</v>
      </c>
      <c r="B380" s="265">
        <v>206</v>
      </c>
      <c r="C380" s="281">
        <v>200</v>
      </c>
      <c r="D380" s="227">
        <v>200</v>
      </c>
      <c r="E380" s="201">
        <v>4.2</v>
      </c>
      <c r="F380" s="201">
        <v>4.8</v>
      </c>
      <c r="G380" s="201">
        <v>8</v>
      </c>
      <c r="H380" s="202">
        <f>E380*4+F380*9+G380*4</f>
        <v>92</v>
      </c>
      <c r="I380" s="263">
        <v>1.37</v>
      </c>
      <c r="J380" s="263" t="s">
        <v>364</v>
      </c>
      <c r="K380" s="14"/>
      <c r="L380" s="29"/>
      <c r="M380" s="82">
        <v>0.5</v>
      </c>
      <c r="N380" s="84">
        <v>0.1</v>
      </c>
      <c r="O380" s="24">
        <v>4.6</v>
      </c>
      <c r="P380" s="24">
        <v>22</v>
      </c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</row>
    <row r="381" spans="1:36" s="18" customFormat="1" ht="24.75" customHeight="1">
      <c r="A381" s="482" t="s">
        <v>140</v>
      </c>
      <c r="B381" s="482"/>
      <c r="C381" s="482"/>
      <c r="D381" s="482"/>
      <c r="E381" s="334">
        <f>E295+E314+E356</f>
        <v>79.94</v>
      </c>
      <c r="F381" s="384">
        <f>F295+F314+F352</f>
        <v>61.9</v>
      </c>
      <c r="G381" s="348">
        <f>G295+G314+G352+G356</f>
        <v>369.56</v>
      </c>
      <c r="H381" s="352">
        <f>H295+H314+H352+H356</f>
        <v>2562.92</v>
      </c>
      <c r="I381" s="386">
        <f>I356+I352+I314+I295</f>
        <v>162.48</v>
      </c>
      <c r="J381" s="334"/>
      <c r="K381" s="14"/>
      <c r="L381" s="29"/>
      <c r="M381" s="82">
        <f>M380*25/10</f>
        <v>1.25</v>
      </c>
      <c r="N381" s="82">
        <f>N380*25/10</f>
        <v>0.25</v>
      </c>
      <c r="O381" s="82">
        <f>O380*25/10</f>
        <v>11.499999999999998</v>
      </c>
      <c r="P381" s="82">
        <f>P380*25/10</f>
        <v>55</v>
      </c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</row>
    <row r="382" spans="1:36" s="18" customFormat="1" ht="24.75" customHeight="1">
      <c r="A382" s="493" t="s">
        <v>0</v>
      </c>
      <c r="B382" s="493"/>
      <c r="C382" s="493"/>
      <c r="D382" s="493"/>
      <c r="E382" s="493"/>
      <c r="F382" s="493"/>
      <c r="G382" s="493"/>
      <c r="H382" s="493"/>
      <c r="I382" s="493"/>
      <c r="J382" s="493"/>
      <c r="K382" s="10"/>
      <c r="L382" s="29"/>
      <c r="M382" s="82"/>
      <c r="N382" s="8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</row>
    <row r="383" spans="1:36" s="18" customFormat="1" ht="24.75" customHeight="1">
      <c r="A383" s="493" t="s">
        <v>41</v>
      </c>
      <c r="B383" s="493"/>
      <c r="C383" s="493"/>
      <c r="D383" s="493"/>
      <c r="E383" s="493"/>
      <c r="F383" s="493"/>
      <c r="G383" s="493"/>
      <c r="H383" s="493"/>
      <c r="I383" s="493"/>
      <c r="J383" s="493"/>
      <c r="K383" s="10"/>
      <c r="L383" s="29"/>
      <c r="M383" s="82"/>
      <c r="N383" s="8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</row>
    <row r="384" spans="1:36" s="18" customFormat="1" ht="24.75" customHeight="1">
      <c r="A384" s="498" t="s">
        <v>2</v>
      </c>
      <c r="B384" s="497" t="s">
        <v>3</v>
      </c>
      <c r="C384" s="497" t="s">
        <v>4</v>
      </c>
      <c r="D384" s="498" t="s">
        <v>5</v>
      </c>
      <c r="E384" s="498"/>
      <c r="F384" s="498"/>
      <c r="G384" s="498"/>
      <c r="H384" s="498"/>
      <c r="I384" s="498"/>
      <c r="J384" s="526" t="s">
        <v>302</v>
      </c>
      <c r="K384" s="15"/>
      <c r="L384" s="29"/>
      <c r="M384" s="82"/>
      <c r="N384" s="8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</row>
    <row r="385" spans="1:36" s="18" customFormat="1" ht="24.75" customHeight="1">
      <c r="A385" s="498"/>
      <c r="B385" s="497"/>
      <c r="C385" s="497"/>
      <c r="D385" s="497" t="s">
        <v>6</v>
      </c>
      <c r="E385" s="485" t="s">
        <v>7</v>
      </c>
      <c r="F385" s="485" t="s">
        <v>8</v>
      </c>
      <c r="G385" s="485" t="s">
        <v>9</v>
      </c>
      <c r="H385" s="494" t="s">
        <v>10</v>
      </c>
      <c r="I385" s="527" t="s">
        <v>303</v>
      </c>
      <c r="J385" s="526"/>
      <c r="K385" s="15"/>
      <c r="L385" s="29"/>
      <c r="M385" s="82"/>
      <c r="N385" s="8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</row>
    <row r="386" spans="1:36" s="18" customFormat="1" ht="24.75" customHeight="1">
      <c r="A386" s="498"/>
      <c r="B386" s="497"/>
      <c r="C386" s="497"/>
      <c r="D386" s="497"/>
      <c r="E386" s="485"/>
      <c r="F386" s="485"/>
      <c r="G386" s="485"/>
      <c r="H386" s="494"/>
      <c r="I386" s="527"/>
      <c r="J386" s="526"/>
      <c r="K386" s="15"/>
      <c r="L386" s="29"/>
      <c r="M386" s="82"/>
      <c r="N386" s="8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</row>
    <row r="387" spans="1:36" s="18" customFormat="1" ht="24.75" customHeight="1">
      <c r="A387" s="510" t="s">
        <v>11</v>
      </c>
      <c r="B387" s="510"/>
      <c r="C387" s="510"/>
      <c r="D387" s="510"/>
      <c r="E387" s="36">
        <f>E388+E397+E401+E405+E407</f>
        <v>20.36</v>
      </c>
      <c r="F387" s="36">
        <f>F388+F397+F401+F405+F407</f>
        <v>25.82</v>
      </c>
      <c r="G387" s="36">
        <f>G388+G397+G401+G405+G407</f>
        <v>62</v>
      </c>
      <c r="H387" s="75">
        <f>H388+H397+H401+H405+H407</f>
        <v>561.8199999999999</v>
      </c>
      <c r="I387" s="192">
        <f>I388+I397+I401+I405+I407</f>
        <v>19.619999999999997</v>
      </c>
      <c r="J387" s="36"/>
      <c r="K387" s="15"/>
      <c r="L387" s="29"/>
      <c r="M387" s="82"/>
      <c r="N387" s="8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</row>
    <row r="388" spans="1:36" s="18" customFormat="1" ht="24.75" customHeight="1">
      <c r="A388" s="501" t="s">
        <v>250</v>
      </c>
      <c r="B388" s="501"/>
      <c r="C388" s="501"/>
      <c r="D388" s="113" t="s">
        <v>241</v>
      </c>
      <c r="E388" s="36">
        <v>11.8</v>
      </c>
      <c r="F388" s="36">
        <v>15.5</v>
      </c>
      <c r="G388" s="36">
        <v>3</v>
      </c>
      <c r="H388" s="75">
        <f>E388*4+F388*9+G388*4</f>
        <v>198.7</v>
      </c>
      <c r="I388" s="192">
        <v>6.14</v>
      </c>
      <c r="J388" s="192" t="s">
        <v>359</v>
      </c>
      <c r="K388" s="15"/>
      <c r="L388" s="29"/>
      <c r="M388" s="82"/>
      <c r="N388" s="8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</row>
    <row r="389" spans="1:36" s="18" customFormat="1" ht="24.75" customHeight="1">
      <c r="A389" s="269" t="s">
        <v>29</v>
      </c>
      <c r="B389" s="401">
        <v>62</v>
      </c>
      <c r="C389" s="401">
        <v>62</v>
      </c>
      <c r="D389" s="323"/>
      <c r="E389" s="391"/>
      <c r="F389" s="391"/>
      <c r="G389" s="391"/>
      <c r="H389" s="323"/>
      <c r="I389" s="263"/>
      <c r="J389" s="263"/>
      <c r="K389" s="15"/>
      <c r="L389" s="29"/>
      <c r="M389" s="82"/>
      <c r="N389" s="8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</row>
    <row r="390" spans="1:36" s="18" customFormat="1" ht="24.75" customHeight="1">
      <c r="A390" s="280" t="s">
        <v>148</v>
      </c>
      <c r="B390" s="402">
        <v>22.85714285714286</v>
      </c>
      <c r="C390" s="402">
        <v>22.857142857142833</v>
      </c>
      <c r="D390" s="202"/>
      <c r="E390" s="201"/>
      <c r="F390" s="201"/>
      <c r="G390" s="201"/>
      <c r="H390" s="202"/>
      <c r="I390" s="263"/>
      <c r="J390" s="263"/>
      <c r="K390" s="15"/>
      <c r="L390" s="29"/>
      <c r="M390" s="82"/>
      <c r="N390" s="8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</row>
    <row r="391" spans="1:36" s="18" customFormat="1" ht="24.75" customHeight="1">
      <c r="A391" s="316" t="s">
        <v>50</v>
      </c>
      <c r="B391" s="321">
        <v>11</v>
      </c>
      <c r="C391" s="321">
        <v>10</v>
      </c>
      <c r="D391" s="75"/>
      <c r="E391" s="36"/>
      <c r="F391" s="36"/>
      <c r="G391" s="36"/>
      <c r="H391" s="36"/>
      <c r="I391" s="192"/>
      <c r="J391" s="192"/>
      <c r="K391" s="15"/>
      <c r="L391" s="29"/>
      <c r="M391" s="82"/>
      <c r="N391" s="8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</row>
    <row r="392" spans="1:36" s="18" customFormat="1" ht="24.75" customHeight="1">
      <c r="A392" s="285" t="s">
        <v>27</v>
      </c>
      <c r="B392" s="286">
        <v>2</v>
      </c>
      <c r="C392" s="286">
        <v>2</v>
      </c>
      <c r="D392" s="75"/>
      <c r="E392" s="36"/>
      <c r="F392" s="287"/>
      <c r="G392" s="287"/>
      <c r="H392" s="290"/>
      <c r="I392" s="288"/>
      <c r="J392" s="288"/>
      <c r="K392" s="10"/>
      <c r="L392" s="29"/>
      <c r="M392" s="82"/>
      <c r="N392" s="8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</row>
    <row r="393" spans="1:36" s="18" customFormat="1" ht="24.75" customHeight="1">
      <c r="A393" s="285" t="s">
        <v>27</v>
      </c>
      <c r="B393" s="286">
        <v>5</v>
      </c>
      <c r="C393" s="286">
        <v>5</v>
      </c>
      <c r="D393" s="113"/>
      <c r="E393" s="287"/>
      <c r="F393" s="287"/>
      <c r="G393" s="287"/>
      <c r="H393" s="290"/>
      <c r="I393" s="288"/>
      <c r="J393" s="288"/>
      <c r="K393" s="10"/>
      <c r="L393" s="29"/>
      <c r="M393" s="82"/>
      <c r="N393" s="8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</row>
    <row r="394" spans="1:36" s="18" customFormat="1" ht="24.75" customHeight="1">
      <c r="A394" s="403" t="s">
        <v>229</v>
      </c>
      <c r="B394" s="404"/>
      <c r="C394" s="404"/>
      <c r="D394" s="404"/>
      <c r="E394" s="405"/>
      <c r="F394" s="405"/>
      <c r="G394" s="405"/>
      <c r="H394" s="406"/>
      <c r="I394" s="407"/>
      <c r="J394" s="407"/>
      <c r="K394" s="10"/>
      <c r="L394" s="29"/>
      <c r="M394" s="82"/>
      <c r="N394" s="8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</row>
    <row r="395" spans="1:36" s="18" customFormat="1" ht="32.25" customHeight="1">
      <c r="A395" s="298" t="s">
        <v>570</v>
      </c>
      <c r="B395" s="290">
        <f>C395*1.02</f>
        <v>51</v>
      </c>
      <c r="C395" s="286">
        <v>50</v>
      </c>
      <c r="D395" s="349"/>
      <c r="E395" s="408"/>
      <c r="F395" s="348"/>
      <c r="G395" s="348"/>
      <c r="H395" s="384"/>
      <c r="I395" s="385"/>
      <c r="J395" s="385"/>
      <c r="K395" s="14"/>
      <c r="L395" s="29"/>
      <c r="M395" s="82"/>
      <c r="N395" s="8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</row>
    <row r="396" spans="1:36" s="18" customFormat="1" ht="24.75" customHeight="1">
      <c r="A396" s="316" t="s">
        <v>571</v>
      </c>
      <c r="B396" s="329">
        <f>C396*1.05</f>
        <v>52.5</v>
      </c>
      <c r="C396" s="330">
        <v>50</v>
      </c>
      <c r="D396" s="374"/>
      <c r="E396" s="36"/>
      <c r="F396" s="36"/>
      <c r="G396" s="36"/>
      <c r="H396" s="113"/>
      <c r="I396" s="192"/>
      <c r="J396" s="192"/>
      <c r="K396" s="14"/>
      <c r="L396" s="29"/>
      <c r="M396" s="82"/>
      <c r="N396" s="8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</row>
    <row r="397" spans="1:36" s="18" customFormat="1" ht="24.75" customHeight="1">
      <c r="A397" s="506" t="s">
        <v>546</v>
      </c>
      <c r="B397" s="506"/>
      <c r="C397" s="506"/>
      <c r="D397" s="409" t="s">
        <v>553</v>
      </c>
      <c r="E397" s="201">
        <v>3.5</v>
      </c>
      <c r="F397" s="201">
        <v>7.5</v>
      </c>
      <c r="G397" s="201">
        <v>14</v>
      </c>
      <c r="H397" s="202">
        <f>E397*4+F397*9+G397*4</f>
        <v>137.5</v>
      </c>
      <c r="I397" s="263">
        <v>0.18</v>
      </c>
      <c r="J397" s="293" t="s">
        <v>590</v>
      </c>
      <c r="K397" s="14"/>
      <c r="L397" s="29"/>
      <c r="M397" s="82"/>
      <c r="N397" s="8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</row>
    <row r="398" spans="1:36" s="18" customFormat="1" ht="24.75" customHeight="1">
      <c r="A398" s="276" t="s">
        <v>348</v>
      </c>
      <c r="B398" s="270">
        <v>30</v>
      </c>
      <c r="C398" s="270">
        <v>30</v>
      </c>
      <c r="D398" s="270"/>
      <c r="E398" s="271"/>
      <c r="F398" s="271"/>
      <c r="G398" s="271"/>
      <c r="H398" s="272"/>
      <c r="I398" s="273"/>
      <c r="J398" s="273"/>
      <c r="K398" s="14"/>
      <c r="L398" s="29"/>
      <c r="M398" s="82"/>
      <c r="N398" s="8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</row>
    <row r="399" spans="1:36" s="18" customFormat="1" ht="24.75" customHeight="1">
      <c r="A399" s="269" t="s">
        <v>27</v>
      </c>
      <c r="B399" s="270">
        <v>10</v>
      </c>
      <c r="C399" s="270">
        <v>10</v>
      </c>
      <c r="D399" s="270"/>
      <c r="E399" s="271"/>
      <c r="F399" s="271"/>
      <c r="G399" s="271"/>
      <c r="H399" s="272"/>
      <c r="I399" s="273"/>
      <c r="J399" s="273"/>
      <c r="K399" s="45"/>
      <c r="L399" s="29"/>
      <c r="M399" s="82"/>
      <c r="N399" s="8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</row>
    <row r="400" spans="1:36" s="18" customFormat="1" ht="24.75" customHeight="1">
      <c r="A400" s="269"/>
      <c r="B400" s="270"/>
      <c r="C400" s="270"/>
      <c r="D400" s="270"/>
      <c r="E400" s="271"/>
      <c r="F400" s="271"/>
      <c r="G400" s="271"/>
      <c r="H400" s="272"/>
      <c r="I400" s="273"/>
      <c r="J400" s="273"/>
      <c r="K400" s="10"/>
      <c r="L400" s="29"/>
      <c r="M400" s="82"/>
      <c r="N400" s="8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</row>
    <row r="401" spans="1:36" s="18" customFormat="1" ht="24.75" customHeight="1">
      <c r="A401" s="502" t="s">
        <v>387</v>
      </c>
      <c r="B401" s="502"/>
      <c r="C401" s="502"/>
      <c r="D401" s="278">
        <v>200</v>
      </c>
      <c r="E401" s="279">
        <v>2.2</v>
      </c>
      <c r="F401" s="279">
        <v>2.4</v>
      </c>
      <c r="G401" s="279">
        <v>15.6</v>
      </c>
      <c r="H401" s="202">
        <f>E401*4+F401*9+G401*4</f>
        <v>92.8</v>
      </c>
      <c r="I401" s="263">
        <v>1.3</v>
      </c>
      <c r="J401" s="263" t="s">
        <v>389</v>
      </c>
      <c r="K401" s="14"/>
      <c r="L401" s="29"/>
      <c r="M401" s="82"/>
      <c r="N401" s="8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</row>
    <row r="402" spans="1:36" s="18" customFormat="1" ht="24.75" customHeight="1">
      <c r="A402" s="280" t="s">
        <v>388</v>
      </c>
      <c r="B402" s="281">
        <v>1</v>
      </c>
      <c r="C402" s="281">
        <v>1</v>
      </c>
      <c r="D402" s="282"/>
      <c r="E402" s="279"/>
      <c r="F402" s="279"/>
      <c r="G402" s="279"/>
      <c r="H402" s="202"/>
      <c r="I402" s="263"/>
      <c r="J402" s="263"/>
      <c r="K402" s="14"/>
      <c r="L402" s="29"/>
      <c r="M402" s="82"/>
      <c r="N402" s="8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</row>
    <row r="403" spans="1:36" s="18" customFormat="1" ht="24.75" customHeight="1">
      <c r="A403" s="280" t="s">
        <v>12</v>
      </c>
      <c r="B403" s="281">
        <v>15</v>
      </c>
      <c r="C403" s="281">
        <v>15</v>
      </c>
      <c r="D403" s="281"/>
      <c r="E403" s="283"/>
      <c r="F403" s="283"/>
      <c r="G403" s="283"/>
      <c r="H403" s="281"/>
      <c r="I403" s="284"/>
      <c r="J403" s="281"/>
      <c r="K403" s="14"/>
      <c r="L403" s="29"/>
      <c r="M403" s="82"/>
      <c r="N403" s="8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</row>
    <row r="404" spans="1:36" s="18" customFormat="1" ht="24.75" customHeight="1">
      <c r="A404" s="285" t="s">
        <v>148</v>
      </c>
      <c r="B404" s="286">
        <v>100</v>
      </c>
      <c r="C404" s="286">
        <v>100</v>
      </c>
      <c r="D404" s="286"/>
      <c r="E404" s="287"/>
      <c r="F404" s="287"/>
      <c r="G404" s="287"/>
      <c r="H404" s="286"/>
      <c r="I404" s="288"/>
      <c r="J404" s="286"/>
      <c r="K404" s="14"/>
      <c r="L404" s="29"/>
      <c r="M404" s="82"/>
      <c r="N404" s="8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</row>
    <row r="405" spans="1:36" s="18" customFormat="1" ht="24.75" customHeight="1">
      <c r="A405" s="501" t="s">
        <v>267</v>
      </c>
      <c r="B405" s="501"/>
      <c r="C405" s="501"/>
      <c r="D405" s="113">
        <v>30</v>
      </c>
      <c r="E405" s="36">
        <v>2.46</v>
      </c>
      <c r="F405" s="36">
        <v>0.42000000000000004</v>
      </c>
      <c r="G405" s="36">
        <v>11.4</v>
      </c>
      <c r="H405" s="75">
        <v>59.21999999999999</v>
      </c>
      <c r="I405" s="192">
        <v>0</v>
      </c>
      <c r="J405" s="192"/>
      <c r="K405" s="14"/>
      <c r="L405" s="29"/>
      <c r="M405" s="82"/>
      <c r="N405" s="8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</row>
    <row r="406" spans="1:36" s="18" customFormat="1" ht="24.75" customHeight="1">
      <c r="A406" s="510" t="s">
        <v>150</v>
      </c>
      <c r="B406" s="510"/>
      <c r="C406" s="510"/>
      <c r="D406" s="510"/>
      <c r="E406" s="510"/>
      <c r="F406" s="510"/>
      <c r="G406" s="510"/>
      <c r="H406" s="510"/>
      <c r="I406" s="510"/>
      <c r="J406" s="510"/>
      <c r="K406" s="14"/>
      <c r="L406" s="29"/>
      <c r="M406" s="82"/>
      <c r="N406" s="8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</row>
    <row r="407" spans="1:36" s="18" customFormat="1" ht="39.75" customHeight="1">
      <c r="A407" s="492" t="s">
        <v>337</v>
      </c>
      <c r="B407" s="492"/>
      <c r="C407" s="492"/>
      <c r="D407" s="282">
        <v>180</v>
      </c>
      <c r="E407" s="201">
        <v>0.4</v>
      </c>
      <c r="F407" s="279">
        <v>0</v>
      </c>
      <c r="G407" s="201">
        <v>18</v>
      </c>
      <c r="H407" s="202">
        <f>E407*4+F407*9+G407*4</f>
        <v>73.6</v>
      </c>
      <c r="I407" s="263">
        <v>12</v>
      </c>
      <c r="J407" s="263"/>
      <c r="K407" s="14"/>
      <c r="L407" s="29"/>
      <c r="M407" s="82"/>
      <c r="N407" s="8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</row>
    <row r="408" spans="1:36" s="18" customFormat="1" ht="24.75" customHeight="1">
      <c r="A408" s="510" t="s">
        <v>18</v>
      </c>
      <c r="B408" s="510"/>
      <c r="C408" s="510"/>
      <c r="D408" s="510"/>
      <c r="E408" s="36">
        <f>E409+E414+E429+E443+E449+E453+E454</f>
        <v>29.68</v>
      </c>
      <c r="F408" s="36">
        <f>F409+F414+F429+F443+F449+F453+F454</f>
        <v>31.960000000000004</v>
      </c>
      <c r="G408" s="36">
        <f>G409+G414+G429+G443+G449+G453+G454</f>
        <v>145.21333333333334</v>
      </c>
      <c r="H408" s="75">
        <f>H409+H414+H429+H443+H449+H453+H454</f>
        <v>986.6533333333333</v>
      </c>
      <c r="I408" s="192">
        <f>I409+I414+I429+I443+I449+I453+I454</f>
        <v>24.48</v>
      </c>
      <c r="J408" s="36"/>
      <c r="K408" s="14"/>
      <c r="L408" s="29"/>
      <c r="M408" s="82"/>
      <c r="N408" s="8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</row>
    <row r="409" spans="1:36" s="18" customFormat="1" ht="24.75" customHeight="1">
      <c r="A409" s="501" t="s">
        <v>251</v>
      </c>
      <c r="B409" s="501"/>
      <c r="C409" s="501"/>
      <c r="D409" s="113">
        <v>80</v>
      </c>
      <c r="E409" s="36">
        <v>0.5</v>
      </c>
      <c r="F409" s="36">
        <v>5</v>
      </c>
      <c r="G409" s="36">
        <v>5.733333333333333</v>
      </c>
      <c r="H409" s="75">
        <f>E409*4+F409*9+G409*4</f>
        <v>69.93333333333334</v>
      </c>
      <c r="I409" s="192">
        <v>10.73</v>
      </c>
      <c r="J409" s="192" t="s">
        <v>360</v>
      </c>
      <c r="K409" s="14"/>
      <c r="L409" s="29"/>
      <c r="M409" s="82"/>
      <c r="N409" s="8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</row>
    <row r="410" spans="1:36" s="18" customFormat="1" ht="24.75" customHeight="1">
      <c r="A410" s="316" t="s">
        <v>210</v>
      </c>
      <c r="B410" s="329">
        <f>C410*1.05</f>
        <v>68.25</v>
      </c>
      <c r="C410" s="330">
        <v>65</v>
      </c>
      <c r="D410" s="202"/>
      <c r="E410" s="36"/>
      <c r="F410" s="36"/>
      <c r="G410" s="36"/>
      <c r="H410" s="113"/>
      <c r="I410" s="192"/>
      <c r="J410" s="192"/>
      <c r="K410" s="14"/>
      <c r="L410" s="29"/>
      <c r="M410" s="82"/>
      <c r="N410" s="8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</row>
    <row r="411" spans="1:36" s="18" customFormat="1" ht="24.75" customHeight="1">
      <c r="A411" s="291" t="s">
        <v>211</v>
      </c>
      <c r="B411" s="290">
        <f>C411*1.02</f>
        <v>66.3</v>
      </c>
      <c r="C411" s="330">
        <v>65</v>
      </c>
      <c r="D411" s="202"/>
      <c r="E411" s="36"/>
      <c r="F411" s="36"/>
      <c r="G411" s="36"/>
      <c r="H411" s="113"/>
      <c r="I411" s="192"/>
      <c r="J411" s="192"/>
      <c r="K411" s="14"/>
      <c r="L411" s="29"/>
      <c r="M411" s="82"/>
      <c r="N411" s="8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</row>
    <row r="412" spans="1:36" s="18" customFormat="1" ht="24.75" customHeight="1">
      <c r="A412" s="291" t="s">
        <v>586</v>
      </c>
      <c r="B412" s="290">
        <f>C412*1.25</f>
        <v>13.75</v>
      </c>
      <c r="C412" s="330">
        <v>11</v>
      </c>
      <c r="D412" s="202"/>
      <c r="E412" s="36"/>
      <c r="F412" s="36"/>
      <c r="G412" s="36"/>
      <c r="H412" s="113"/>
      <c r="I412" s="192"/>
      <c r="J412" s="192"/>
      <c r="K412" s="14"/>
      <c r="L412" s="29"/>
      <c r="M412" s="82"/>
      <c r="N412" s="8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</row>
    <row r="413" spans="1:36" s="18" customFormat="1" ht="24.75" customHeight="1">
      <c r="A413" s="339" t="s">
        <v>20</v>
      </c>
      <c r="B413" s="343">
        <v>5</v>
      </c>
      <c r="C413" s="343">
        <v>5</v>
      </c>
      <c r="D413" s="202"/>
      <c r="E413" s="342"/>
      <c r="F413" s="342"/>
      <c r="G413" s="342"/>
      <c r="H413" s="343"/>
      <c r="I413" s="341"/>
      <c r="J413" s="341"/>
      <c r="K413" s="14"/>
      <c r="L413" s="29"/>
      <c r="M413" s="82"/>
      <c r="N413" s="8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</row>
    <row r="414" spans="1:36" s="18" customFormat="1" ht="35.25" customHeight="1">
      <c r="A414" s="511" t="s">
        <v>472</v>
      </c>
      <c r="B414" s="511"/>
      <c r="C414" s="511"/>
      <c r="D414" s="113" t="s">
        <v>295</v>
      </c>
      <c r="E414" s="201">
        <v>4.1</v>
      </c>
      <c r="F414" s="201">
        <v>6.8</v>
      </c>
      <c r="G414" s="201">
        <v>16.6</v>
      </c>
      <c r="H414" s="202">
        <f>E414*4+F414*9+G414*4</f>
        <v>144</v>
      </c>
      <c r="I414" s="410">
        <v>10.5</v>
      </c>
      <c r="J414" s="192" t="s">
        <v>361</v>
      </c>
      <c r="K414" s="14"/>
      <c r="L414" s="29"/>
      <c r="M414" s="82"/>
      <c r="N414" s="8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</row>
    <row r="415" spans="1:14" ht="24.75" customHeight="1">
      <c r="A415" s="366" t="s">
        <v>60</v>
      </c>
      <c r="B415" s="328">
        <f>C415*1.35</f>
        <v>21.6</v>
      </c>
      <c r="C415" s="270">
        <v>16</v>
      </c>
      <c r="D415" s="270"/>
      <c r="E415" s="271"/>
      <c r="F415" s="271"/>
      <c r="G415" s="271"/>
      <c r="H415" s="271"/>
      <c r="I415" s="273"/>
      <c r="J415" s="400"/>
      <c r="K415" s="14"/>
      <c r="N415" s="84"/>
    </row>
    <row r="416" spans="1:14" ht="24.75" customHeight="1">
      <c r="A416" s="366" t="s">
        <v>72</v>
      </c>
      <c r="B416" s="300">
        <f>C416*1.18</f>
        <v>18.88</v>
      </c>
      <c r="C416" s="270">
        <v>16</v>
      </c>
      <c r="D416" s="270"/>
      <c r="E416" s="271"/>
      <c r="F416" s="271"/>
      <c r="G416" s="271"/>
      <c r="H416" s="272"/>
      <c r="I416" s="309"/>
      <c r="J416" s="400"/>
      <c r="K416" s="71"/>
      <c r="N416" s="84"/>
    </row>
    <row r="417" spans="1:14" ht="24.75" customHeight="1">
      <c r="A417" s="269" t="s">
        <v>96</v>
      </c>
      <c r="B417" s="272">
        <f>C417*1.02</f>
        <v>81.6</v>
      </c>
      <c r="C417" s="270">
        <v>80</v>
      </c>
      <c r="D417" s="113"/>
      <c r="E417" s="36"/>
      <c r="F417" s="36"/>
      <c r="G417" s="36"/>
      <c r="H417" s="75"/>
      <c r="I417" s="192"/>
      <c r="J417" s="192"/>
      <c r="K417" s="71"/>
      <c r="N417" s="84"/>
    </row>
    <row r="418" spans="1:36" s="18" customFormat="1" ht="24.75" customHeight="1">
      <c r="A418" s="269" t="s">
        <v>190</v>
      </c>
      <c r="B418" s="272">
        <f>C418*1.25</f>
        <v>87.5</v>
      </c>
      <c r="C418" s="270">
        <v>70</v>
      </c>
      <c r="D418" s="113"/>
      <c r="E418" s="36"/>
      <c r="F418" s="36"/>
      <c r="G418" s="36"/>
      <c r="H418" s="36"/>
      <c r="I418" s="192"/>
      <c r="J418" s="192"/>
      <c r="K418" s="71"/>
      <c r="L418" s="29"/>
      <c r="M418" s="82"/>
      <c r="N418" s="8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</row>
    <row r="419" spans="1:11" ht="24.75" customHeight="1">
      <c r="A419" s="285" t="s">
        <v>21</v>
      </c>
      <c r="B419" s="290">
        <f>C419*1.33</f>
        <v>53.2</v>
      </c>
      <c r="C419" s="286">
        <v>40</v>
      </c>
      <c r="D419" s="281"/>
      <c r="E419" s="283"/>
      <c r="F419" s="283"/>
      <c r="G419" s="283"/>
      <c r="H419" s="281"/>
      <c r="I419" s="284"/>
      <c r="J419" s="284"/>
      <c r="K419" s="71"/>
    </row>
    <row r="420" spans="1:36" s="18" customFormat="1" ht="24.75" customHeight="1">
      <c r="A420" s="285" t="s">
        <v>22</v>
      </c>
      <c r="B420" s="290">
        <f>C420*1.43</f>
        <v>57.199999999999996</v>
      </c>
      <c r="C420" s="286">
        <v>40</v>
      </c>
      <c r="D420" s="113"/>
      <c r="E420" s="36"/>
      <c r="F420" s="287"/>
      <c r="G420" s="287"/>
      <c r="H420" s="290"/>
      <c r="I420" s="288"/>
      <c r="J420" s="288"/>
      <c r="K420" s="71"/>
      <c r="L420" s="29"/>
      <c r="M420" s="82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</row>
    <row r="421" spans="1:11" ht="24.75" customHeight="1">
      <c r="A421" s="285" t="s">
        <v>23</v>
      </c>
      <c r="B421" s="290">
        <f>C421*1.54</f>
        <v>61.6</v>
      </c>
      <c r="C421" s="286">
        <v>40</v>
      </c>
      <c r="D421" s="113"/>
      <c r="E421" s="36"/>
      <c r="F421" s="287"/>
      <c r="G421" s="287"/>
      <c r="H421" s="290"/>
      <c r="I421" s="288"/>
      <c r="J421" s="288"/>
      <c r="K421" s="10"/>
    </row>
    <row r="422" spans="1:11" ht="24.75" customHeight="1">
      <c r="A422" s="285" t="s">
        <v>24</v>
      </c>
      <c r="B422" s="290">
        <f>C422*1.67</f>
        <v>66.8</v>
      </c>
      <c r="C422" s="286">
        <v>40</v>
      </c>
      <c r="D422" s="113"/>
      <c r="E422" s="36"/>
      <c r="F422" s="287"/>
      <c r="G422" s="287"/>
      <c r="H422" s="290"/>
      <c r="I422" s="288"/>
      <c r="J422" s="288"/>
      <c r="K422" s="10"/>
    </row>
    <row r="423" spans="1:36" s="18" customFormat="1" ht="24.75" customHeight="1">
      <c r="A423" s="285" t="s">
        <v>25</v>
      </c>
      <c r="B423" s="290">
        <f>C423*1.25</f>
        <v>17.5</v>
      </c>
      <c r="C423" s="286">
        <v>14</v>
      </c>
      <c r="D423" s="113"/>
      <c r="E423" s="36"/>
      <c r="F423" s="287"/>
      <c r="G423" s="287"/>
      <c r="H423" s="290"/>
      <c r="I423" s="288"/>
      <c r="J423" s="288"/>
      <c r="K423" s="13"/>
      <c r="L423" s="29"/>
      <c r="M423" s="82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</row>
    <row r="424" spans="1:36" s="18" customFormat="1" ht="24.75" customHeight="1">
      <c r="A424" s="285" t="s">
        <v>19</v>
      </c>
      <c r="B424" s="290">
        <f>C424*1.33</f>
        <v>18.62</v>
      </c>
      <c r="C424" s="286">
        <v>14</v>
      </c>
      <c r="D424" s="113"/>
      <c r="E424" s="36"/>
      <c r="F424" s="287"/>
      <c r="G424" s="287"/>
      <c r="H424" s="290"/>
      <c r="I424" s="288"/>
      <c r="J424" s="288"/>
      <c r="K424" s="10"/>
      <c r="L424" s="29"/>
      <c r="M424" s="82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</row>
    <row r="425" spans="1:36" s="18" customFormat="1" ht="24.75" customHeight="1">
      <c r="A425" s="285" t="s">
        <v>26</v>
      </c>
      <c r="B425" s="290">
        <f>C425*1.19</f>
        <v>24.99</v>
      </c>
      <c r="C425" s="286">
        <v>21</v>
      </c>
      <c r="D425" s="113"/>
      <c r="E425" s="36"/>
      <c r="F425" s="287"/>
      <c r="G425" s="287"/>
      <c r="H425" s="290"/>
      <c r="I425" s="288"/>
      <c r="J425" s="288"/>
      <c r="K425" s="10"/>
      <c r="L425" s="29"/>
      <c r="M425" s="82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</row>
    <row r="426" spans="1:36" s="18" customFormat="1" ht="24.75" customHeight="1">
      <c r="A426" s="285" t="s">
        <v>27</v>
      </c>
      <c r="B426" s="286">
        <v>8</v>
      </c>
      <c r="C426" s="286">
        <v>8</v>
      </c>
      <c r="D426" s="113"/>
      <c r="E426" s="36"/>
      <c r="F426" s="287"/>
      <c r="G426" s="287"/>
      <c r="H426" s="290"/>
      <c r="I426" s="288"/>
      <c r="J426" s="288"/>
      <c r="K426" s="14"/>
      <c r="L426" s="29"/>
      <c r="M426" s="82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</row>
    <row r="427" spans="1:36" s="18" customFormat="1" ht="24.75" customHeight="1">
      <c r="A427" s="327" t="s">
        <v>403</v>
      </c>
      <c r="B427" s="305">
        <v>4</v>
      </c>
      <c r="C427" s="281">
        <v>3</v>
      </c>
      <c r="D427" s="113"/>
      <c r="E427" s="36"/>
      <c r="F427" s="36"/>
      <c r="G427" s="36"/>
      <c r="H427" s="75"/>
      <c r="I427" s="192"/>
      <c r="J427" s="192"/>
      <c r="K427" s="44"/>
      <c r="L427" s="29"/>
      <c r="M427" s="82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</row>
    <row r="428" spans="1:36" s="18" customFormat="1" ht="24.75" customHeight="1">
      <c r="A428" s="269" t="s">
        <v>93</v>
      </c>
      <c r="B428" s="286">
        <v>5</v>
      </c>
      <c r="C428" s="286">
        <v>5</v>
      </c>
      <c r="D428" s="286"/>
      <c r="E428" s="287"/>
      <c r="F428" s="287"/>
      <c r="G428" s="287"/>
      <c r="H428" s="290"/>
      <c r="I428" s="288"/>
      <c r="J428" s="288"/>
      <c r="K428" s="14"/>
      <c r="L428" s="29"/>
      <c r="M428" s="82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</row>
    <row r="429" spans="1:36" s="18" customFormat="1" ht="24.75" customHeight="1">
      <c r="A429" s="501" t="s">
        <v>409</v>
      </c>
      <c r="B429" s="501"/>
      <c r="C429" s="501"/>
      <c r="D429" s="113">
        <v>130</v>
      </c>
      <c r="E429" s="201">
        <v>11.1</v>
      </c>
      <c r="F429" s="201">
        <v>13.9</v>
      </c>
      <c r="G429" s="201">
        <v>4.7</v>
      </c>
      <c r="H429" s="202">
        <f>E429*4+F429*9+G429*4</f>
        <v>188.3</v>
      </c>
      <c r="I429" s="263">
        <v>0.6</v>
      </c>
      <c r="J429" s="395" t="s">
        <v>410</v>
      </c>
      <c r="K429" s="14"/>
      <c r="L429" s="29"/>
      <c r="M429" s="82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</row>
    <row r="430" spans="1:36" s="18" customFormat="1" ht="24.75" customHeight="1">
      <c r="A430" s="324" t="s">
        <v>411</v>
      </c>
      <c r="B430" s="325">
        <f>C430*1.48</f>
        <v>161.32</v>
      </c>
      <c r="C430" s="272">
        <v>109</v>
      </c>
      <c r="D430" s="113"/>
      <c r="E430" s="36"/>
      <c r="F430" s="36"/>
      <c r="G430" s="36"/>
      <c r="H430" s="75"/>
      <c r="I430" s="192"/>
      <c r="J430" s="395"/>
      <c r="K430" s="45"/>
      <c r="L430" s="29"/>
      <c r="M430" s="82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</row>
    <row r="431" spans="1:36" s="18" customFormat="1" ht="24.75" customHeight="1">
      <c r="A431" s="366" t="s">
        <v>412</v>
      </c>
      <c r="B431" s="325">
        <f>C431*1.054</f>
        <v>114.88600000000001</v>
      </c>
      <c r="C431" s="272">
        <v>109</v>
      </c>
      <c r="D431" s="113"/>
      <c r="E431" s="36"/>
      <c r="F431" s="36"/>
      <c r="G431" s="36"/>
      <c r="H431" s="75"/>
      <c r="I431" s="192"/>
      <c r="J431" s="395"/>
      <c r="K431" s="10"/>
      <c r="L431" s="29"/>
      <c r="M431" s="82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</row>
    <row r="432" spans="1:36" s="18" customFormat="1" ht="24.75" customHeight="1">
      <c r="A432" s="366" t="s">
        <v>413</v>
      </c>
      <c r="B432" s="325">
        <f>C432*1.054</f>
        <v>114.88600000000001</v>
      </c>
      <c r="C432" s="272">
        <v>109</v>
      </c>
      <c r="D432" s="113"/>
      <c r="E432" s="36"/>
      <c r="F432" s="36"/>
      <c r="G432" s="36"/>
      <c r="H432" s="75"/>
      <c r="I432" s="192"/>
      <c r="J432" s="395"/>
      <c r="K432" s="10"/>
      <c r="L432" s="29"/>
      <c r="M432" s="82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</row>
    <row r="433" spans="1:36" s="3" customFormat="1" ht="24.75" customHeight="1">
      <c r="A433" s="264" t="s">
        <v>208</v>
      </c>
      <c r="B433" s="283"/>
      <c r="C433" s="272">
        <v>80</v>
      </c>
      <c r="D433" s="113"/>
      <c r="E433" s="201"/>
      <c r="F433" s="201"/>
      <c r="G433" s="201"/>
      <c r="H433" s="202"/>
      <c r="I433" s="263"/>
      <c r="J433" s="293"/>
      <c r="K433" s="10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s="18" customFormat="1" ht="24.75" customHeight="1">
      <c r="A434" s="264" t="s">
        <v>20</v>
      </c>
      <c r="B434" s="305">
        <v>7</v>
      </c>
      <c r="C434" s="265">
        <v>7</v>
      </c>
      <c r="D434" s="227"/>
      <c r="E434" s="201"/>
      <c r="F434" s="201"/>
      <c r="G434" s="201"/>
      <c r="H434" s="202"/>
      <c r="I434" s="263"/>
      <c r="J434" s="293"/>
      <c r="K434" s="10"/>
      <c r="L434" s="29"/>
      <c r="M434" s="82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</row>
    <row r="435" spans="1:11" s="159" customFormat="1" ht="24.75" customHeight="1">
      <c r="A435" s="285" t="s">
        <v>26</v>
      </c>
      <c r="B435" s="290">
        <f>C435*1.19</f>
        <v>9.52</v>
      </c>
      <c r="C435" s="290">
        <v>8</v>
      </c>
      <c r="D435" s="75"/>
      <c r="E435" s="36"/>
      <c r="F435" s="36"/>
      <c r="G435" s="36"/>
      <c r="H435" s="75"/>
      <c r="I435" s="192"/>
      <c r="J435" s="192"/>
      <c r="K435" s="100"/>
    </row>
    <row r="436" spans="1:11" s="7" customFormat="1" ht="39" customHeight="1">
      <c r="A436" s="276" t="s">
        <v>407</v>
      </c>
      <c r="B436" s="290">
        <v>4</v>
      </c>
      <c r="C436" s="290">
        <v>4</v>
      </c>
      <c r="D436" s="75"/>
      <c r="E436" s="36"/>
      <c r="F436" s="36"/>
      <c r="G436" s="36"/>
      <c r="H436" s="75"/>
      <c r="I436" s="192"/>
      <c r="J436" s="192"/>
      <c r="K436" s="14"/>
    </row>
    <row r="437" spans="1:36" s="3" customFormat="1" ht="24.75" customHeight="1">
      <c r="A437" s="285" t="s">
        <v>28</v>
      </c>
      <c r="B437" s="287">
        <v>1.9</v>
      </c>
      <c r="C437" s="287">
        <v>1.9</v>
      </c>
      <c r="D437" s="75"/>
      <c r="E437" s="36"/>
      <c r="F437" s="36"/>
      <c r="G437" s="36"/>
      <c r="H437" s="75"/>
      <c r="I437" s="192"/>
      <c r="J437" s="192"/>
      <c r="K437" s="14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s="3" customFormat="1" ht="24.75" customHeight="1">
      <c r="A438" s="285" t="s">
        <v>116</v>
      </c>
      <c r="B438" s="287">
        <f>C438*1.28</f>
        <v>1.1520000000000001</v>
      </c>
      <c r="C438" s="287">
        <v>0.9</v>
      </c>
      <c r="D438" s="75"/>
      <c r="E438" s="36"/>
      <c r="F438" s="36"/>
      <c r="G438" s="36"/>
      <c r="H438" s="75"/>
      <c r="I438" s="192"/>
      <c r="J438" s="192"/>
      <c r="K438" s="14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s="3" customFormat="1" ht="24.75" customHeight="1">
      <c r="A439" s="269" t="s">
        <v>93</v>
      </c>
      <c r="B439" s="290">
        <v>5</v>
      </c>
      <c r="C439" s="290">
        <v>5</v>
      </c>
      <c r="D439" s="75"/>
      <c r="E439" s="36"/>
      <c r="F439" s="36"/>
      <c r="G439" s="36"/>
      <c r="H439" s="75"/>
      <c r="I439" s="192"/>
      <c r="J439" s="192"/>
      <c r="K439" s="14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s="3" customFormat="1" ht="24.75" customHeight="1">
      <c r="A440" s="285" t="s">
        <v>25</v>
      </c>
      <c r="B440" s="290">
        <f>C440*1.25</f>
        <v>10</v>
      </c>
      <c r="C440" s="305">
        <v>8</v>
      </c>
      <c r="D440" s="75"/>
      <c r="E440" s="36"/>
      <c r="F440" s="36"/>
      <c r="G440" s="36"/>
      <c r="H440" s="36"/>
      <c r="I440" s="192"/>
      <c r="J440" s="192"/>
      <c r="K440" s="14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s="18" customFormat="1" ht="24.75" customHeight="1">
      <c r="A441" s="285" t="s">
        <v>19</v>
      </c>
      <c r="B441" s="287">
        <f>C441*1.33</f>
        <v>10.64</v>
      </c>
      <c r="C441" s="305">
        <v>8</v>
      </c>
      <c r="D441" s="75"/>
      <c r="E441" s="36"/>
      <c r="F441" s="36"/>
      <c r="G441" s="36"/>
      <c r="H441" s="75"/>
      <c r="I441" s="192"/>
      <c r="J441" s="192"/>
      <c r="K441" s="14"/>
      <c r="L441" s="29"/>
      <c r="M441" s="82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</row>
    <row r="442" spans="1:36" s="18" customFormat="1" ht="24.75" customHeight="1">
      <c r="A442" s="269" t="s">
        <v>129</v>
      </c>
      <c r="B442" s="290">
        <v>46</v>
      </c>
      <c r="C442" s="290">
        <v>46</v>
      </c>
      <c r="D442" s="75"/>
      <c r="E442" s="36"/>
      <c r="F442" s="36"/>
      <c r="G442" s="36"/>
      <c r="H442" s="75"/>
      <c r="I442" s="192"/>
      <c r="J442" s="192"/>
      <c r="K442" s="14"/>
      <c r="L442" s="29"/>
      <c r="M442" s="82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</row>
    <row r="443" spans="1:36" s="18" customFormat="1" ht="24.75" customHeight="1">
      <c r="A443" s="501" t="s">
        <v>92</v>
      </c>
      <c r="B443" s="501"/>
      <c r="C443" s="501"/>
      <c r="D443" s="113">
        <v>200</v>
      </c>
      <c r="E443" s="36">
        <v>2.6</v>
      </c>
      <c r="F443" s="36">
        <v>4.2</v>
      </c>
      <c r="G443" s="36">
        <v>42.6</v>
      </c>
      <c r="H443" s="337">
        <f>E443*4+F443*9+G443*4</f>
        <v>218.60000000000002</v>
      </c>
      <c r="I443" s="410">
        <v>1.25</v>
      </c>
      <c r="J443" s="410" t="s">
        <v>334</v>
      </c>
      <c r="K443" s="14"/>
      <c r="L443" s="29"/>
      <c r="M443" s="82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</row>
    <row r="444" spans="1:36" s="18" customFormat="1" ht="24.75" customHeight="1">
      <c r="A444" s="285" t="s">
        <v>31</v>
      </c>
      <c r="B444" s="290">
        <v>49</v>
      </c>
      <c r="C444" s="290">
        <v>49.333333333333336</v>
      </c>
      <c r="D444" s="290"/>
      <c r="E444" s="287"/>
      <c r="F444" s="287"/>
      <c r="G444" s="287"/>
      <c r="H444" s="286"/>
      <c r="I444" s="288"/>
      <c r="J444" s="288"/>
      <c r="K444" s="14"/>
      <c r="L444" s="29"/>
      <c r="M444" s="82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</row>
    <row r="445" spans="1:36" s="18" customFormat="1" ht="24.75" customHeight="1">
      <c r="A445" s="285" t="s">
        <v>56</v>
      </c>
      <c r="B445" s="290">
        <f>C445*1.67</f>
        <v>33.4</v>
      </c>
      <c r="C445" s="290">
        <v>20</v>
      </c>
      <c r="D445" s="290"/>
      <c r="E445" s="287"/>
      <c r="F445" s="287"/>
      <c r="G445" s="287"/>
      <c r="H445" s="36"/>
      <c r="I445" s="192"/>
      <c r="J445" s="192"/>
      <c r="K445" s="14"/>
      <c r="L445" s="29"/>
      <c r="M445" s="82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</row>
    <row r="446" spans="1:36" s="18" customFormat="1" ht="24.75" customHeight="1">
      <c r="A446" s="285" t="s">
        <v>25</v>
      </c>
      <c r="B446" s="290">
        <f>C446*1.25</f>
        <v>53.75</v>
      </c>
      <c r="C446" s="290">
        <v>43</v>
      </c>
      <c r="D446" s="290"/>
      <c r="E446" s="287"/>
      <c r="F446" s="287"/>
      <c r="G446" s="287"/>
      <c r="H446" s="290"/>
      <c r="I446" s="288"/>
      <c r="J446" s="288"/>
      <c r="K446" s="14"/>
      <c r="L446" s="29"/>
      <c r="M446" s="82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</row>
    <row r="447" spans="1:36" s="18" customFormat="1" ht="24.75" customHeight="1">
      <c r="A447" s="285" t="s">
        <v>19</v>
      </c>
      <c r="B447" s="290">
        <f>C447*1.33</f>
        <v>57.190000000000005</v>
      </c>
      <c r="C447" s="290">
        <v>43</v>
      </c>
      <c r="D447" s="290"/>
      <c r="E447" s="287"/>
      <c r="F447" s="287"/>
      <c r="G447" s="287"/>
      <c r="H447" s="290"/>
      <c r="I447" s="288"/>
      <c r="J447" s="288"/>
      <c r="K447" s="64"/>
      <c r="L447" s="29"/>
      <c r="M447" s="82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</row>
    <row r="448" spans="1:36" s="18" customFormat="1" ht="24.75" customHeight="1">
      <c r="A448" s="285" t="s">
        <v>27</v>
      </c>
      <c r="B448" s="290">
        <v>8</v>
      </c>
      <c r="C448" s="290">
        <v>8</v>
      </c>
      <c r="D448" s="290"/>
      <c r="E448" s="287"/>
      <c r="F448" s="287"/>
      <c r="G448" s="287"/>
      <c r="H448" s="290"/>
      <c r="I448" s="288"/>
      <c r="J448" s="288"/>
      <c r="K448" s="1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</row>
    <row r="449" spans="1:36" s="18" customFormat="1" ht="24.75" customHeight="1">
      <c r="A449" s="502" t="s">
        <v>182</v>
      </c>
      <c r="B449" s="502"/>
      <c r="C449" s="502"/>
      <c r="D449" s="278">
        <v>200</v>
      </c>
      <c r="E449" s="279">
        <v>0.2</v>
      </c>
      <c r="F449" s="279">
        <v>0.1</v>
      </c>
      <c r="G449" s="279">
        <v>21.8</v>
      </c>
      <c r="H449" s="202">
        <f>E449*4+F449*9+G449*4</f>
        <v>88.9</v>
      </c>
      <c r="I449" s="263">
        <v>1.4</v>
      </c>
      <c r="J449" s="263" t="s">
        <v>352</v>
      </c>
      <c r="K449" s="1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</row>
    <row r="450" spans="1:36" s="18" customFormat="1" ht="24.75" customHeight="1">
      <c r="A450" s="298" t="s">
        <v>191</v>
      </c>
      <c r="B450" s="290">
        <v>25.3</v>
      </c>
      <c r="C450" s="286">
        <v>24</v>
      </c>
      <c r="D450" s="286"/>
      <c r="E450" s="287"/>
      <c r="F450" s="287"/>
      <c r="G450" s="287"/>
      <c r="H450" s="290"/>
      <c r="I450" s="288"/>
      <c r="J450" s="288"/>
      <c r="K450" s="1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</row>
    <row r="451" spans="1:36" s="18" customFormat="1" ht="24.75" customHeight="1">
      <c r="A451" s="285" t="s">
        <v>183</v>
      </c>
      <c r="B451" s="286">
        <v>7</v>
      </c>
      <c r="C451" s="286">
        <v>7</v>
      </c>
      <c r="D451" s="286"/>
      <c r="E451" s="287"/>
      <c r="F451" s="287"/>
      <c r="G451" s="287"/>
      <c r="H451" s="286"/>
      <c r="I451" s="288"/>
      <c r="J451" s="288"/>
      <c r="K451" s="1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</row>
    <row r="452" spans="1:11" s="18" customFormat="1" ht="24.75" customHeight="1">
      <c r="A452" s="285" t="s">
        <v>12</v>
      </c>
      <c r="B452" s="286">
        <v>15</v>
      </c>
      <c r="C452" s="286">
        <v>15</v>
      </c>
      <c r="D452" s="286"/>
      <c r="E452" s="287"/>
      <c r="F452" s="287"/>
      <c r="G452" s="287"/>
      <c r="H452" s="286"/>
      <c r="I452" s="288"/>
      <c r="J452" s="286"/>
      <c r="K452" s="10"/>
    </row>
    <row r="453" spans="1:11" s="18" customFormat="1" ht="24.75" customHeight="1">
      <c r="A453" s="501" t="s">
        <v>267</v>
      </c>
      <c r="B453" s="501"/>
      <c r="C453" s="501"/>
      <c r="D453" s="113">
        <v>80</v>
      </c>
      <c r="E453" s="36">
        <v>6.56</v>
      </c>
      <c r="F453" s="36">
        <v>1.12</v>
      </c>
      <c r="G453" s="36">
        <v>30.4</v>
      </c>
      <c r="H453" s="75">
        <v>157.92</v>
      </c>
      <c r="I453" s="192">
        <v>0</v>
      </c>
      <c r="J453" s="192"/>
      <c r="K453" s="14"/>
    </row>
    <row r="454" spans="1:11" s="18" customFormat="1" ht="24.75" customHeight="1">
      <c r="A454" s="506" t="s">
        <v>70</v>
      </c>
      <c r="B454" s="506"/>
      <c r="C454" s="506"/>
      <c r="D454" s="227">
        <v>70</v>
      </c>
      <c r="E454" s="201">
        <v>4.62</v>
      </c>
      <c r="F454" s="201">
        <v>0.84</v>
      </c>
      <c r="G454" s="201">
        <v>23.38</v>
      </c>
      <c r="H454" s="202">
        <v>119</v>
      </c>
      <c r="I454" s="263">
        <v>0</v>
      </c>
      <c r="J454" s="263"/>
      <c r="K454" s="14"/>
    </row>
    <row r="455" spans="1:36" s="18" customFormat="1" ht="24.75" customHeight="1">
      <c r="A455" s="510" t="s">
        <v>59</v>
      </c>
      <c r="B455" s="510"/>
      <c r="C455" s="510"/>
      <c r="D455" s="510"/>
      <c r="E455" s="36">
        <f>E456+E458</f>
        <v>1.7000000000000002</v>
      </c>
      <c r="F455" s="36">
        <f>F456+F458</f>
        <v>2.5</v>
      </c>
      <c r="G455" s="36">
        <f>G456+G458</f>
        <v>64.8</v>
      </c>
      <c r="H455" s="75">
        <f>H456+H458</f>
        <v>288.5</v>
      </c>
      <c r="I455" s="192">
        <f>I456+I458</f>
        <v>19</v>
      </c>
      <c r="J455" s="36"/>
      <c r="K455" s="1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</row>
    <row r="456" spans="1:36" s="18" customFormat="1" ht="33" customHeight="1">
      <c r="A456" s="511" t="s">
        <v>259</v>
      </c>
      <c r="B456" s="511"/>
      <c r="C456" s="511"/>
      <c r="D456" s="113">
        <v>30</v>
      </c>
      <c r="E456" s="36">
        <v>1.6</v>
      </c>
      <c r="F456" s="36">
        <v>2.5</v>
      </c>
      <c r="G456" s="36">
        <v>42.8</v>
      </c>
      <c r="H456" s="75">
        <f>E456*4+F456*9+G456*4</f>
        <v>200.1</v>
      </c>
      <c r="I456" s="192">
        <v>0</v>
      </c>
      <c r="J456" s="192"/>
      <c r="K456" s="1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</row>
    <row r="457" spans="1:36" s="18" customFormat="1" ht="35.25" customHeight="1">
      <c r="A457" s="511" t="s">
        <v>396</v>
      </c>
      <c r="B457" s="511"/>
      <c r="C457" s="511"/>
      <c r="D457" s="113"/>
      <c r="E457" s="36"/>
      <c r="F457" s="36"/>
      <c r="G457" s="36"/>
      <c r="H457" s="75"/>
      <c r="I457" s="192"/>
      <c r="J457" s="192"/>
      <c r="K457" s="57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</row>
    <row r="458" spans="1:13" ht="63" customHeight="1">
      <c r="A458" s="483" t="s">
        <v>487</v>
      </c>
      <c r="B458" s="483"/>
      <c r="C458" s="483"/>
      <c r="D458" s="227">
        <v>200</v>
      </c>
      <c r="E458" s="201">
        <v>0.1</v>
      </c>
      <c r="F458" s="201">
        <v>0</v>
      </c>
      <c r="G458" s="201">
        <v>22</v>
      </c>
      <c r="H458" s="202">
        <f>E458*4+F458*9+G458*4</f>
        <v>88.4</v>
      </c>
      <c r="I458" s="263">
        <v>19</v>
      </c>
      <c r="J458" s="292" t="s">
        <v>486</v>
      </c>
      <c r="K458" s="57"/>
      <c r="L458" s="24"/>
      <c r="M458" s="24"/>
    </row>
    <row r="459" spans="1:13" ht="24.75" customHeight="1">
      <c r="A459" s="510" t="s">
        <v>30</v>
      </c>
      <c r="B459" s="510"/>
      <c r="C459" s="510"/>
      <c r="D459" s="510"/>
      <c r="E459" s="36">
        <f>E460+E498+E509+E516+E520+E521+E523</f>
        <v>25.45142857142857</v>
      </c>
      <c r="F459" s="36">
        <f>F460+F498+F509+F516+F520+F521+F523</f>
        <v>27.759999999999998</v>
      </c>
      <c r="G459" s="36">
        <f>G460+G498+G509+G516+G520+G521+G523</f>
        <v>98.2353846153846</v>
      </c>
      <c r="H459" s="75">
        <f>H460+H498+H509+H516+H520+H521+H523</f>
        <v>740.5872527472527</v>
      </c>
      <c r="I459" s="192">
        <f>I460+I498+I509+I516+I520+I521+I523</f>
        <v>22.22</v>
      </c>
      <c r="J459" s="36"/>
      <c r="K459" s="43"/>
      <c r="L459" s="24"/>
      <c r="M459" s="24"/>
    </row>
    <row r="460" spans="1:36" s="18" customFormat="1" ht="24.75" customHeight="1">
      <c r="A460" s="501" t="s">
        <v>153</v>
      </c>
      <c r="B460" s="501"/>
      <c r="C460" s="501"/>
      <c r="D460" s="113">
        <v>80</v>
      </c>
      <c r="E460" s="36">
        <v>1.3714285714285714</v>
      </c>
      <c r="F460" s="36">
        <v>5</v>
      </c>
      <c r="G460" s="36">
        <v>8</v>
      </c>
      <c r="H460" s="75">
        <f>E460*4+F460*9+G460*4</f>
        <v>82.4857142857143</v>
      </c>
      <c r="I460" s="192">
        <v>3.17</v>
      </c>
      <c r="J460" s="192" t="s">
        <v>363</v>
      </c>
      <c r="K460" s="1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</row>
    <row r="461" spans="1:13" ht="24.75" customHeight="1">
      <c r="A461" s="285" t="s">
        <v>21</v>
      </c>
      <c r="B461" s="290">
        <f>C461*1.33</f>
        <v>26.6</v>
      </c>
      <c r="C461" s="390">
        <v>20</v>
      </c>
      <c r="D461" s="281"/>
      <c r="E461" s="283"/>
      <c r="F461" s="283"/>
      <c r="G461" s="283"/>
      <c r="H461" s="281"/>
      <c r="I461" s="284"/>
      <c r="J461" s="284"/>
      <c r="K461" s="14"/>
      <c r="L461" s="24"/>
      <c r="M461" s="24"/>
    </row>
    <row r="462" spans="1:36" s="18" customFormat="1" ht="24.75" customHeight="1">
      <c r="A462" s="285" t="s">
        <v>22</v>
      </c>
      <c r="B462" s="290">
        <f>C462*1.43</f>
        <v>28.599999999999998</v>
      </c>
      <c r="C462" s="390">
        <v>20</v>
      </c>
      <c r="D462" s="281"/>
      <c r="E462" s="283"/>
      <c r="F462" s="283"/>
      <c r="G462" s="283"/>
      <c r="H462" s="283"/>
      <c r="I462" s="284"/>
      <c r="J462" s="284"/>
      <c r="K462" s="1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</row>
    <row r="463" spans="1:13" ht="24.75" customHeight="1">
      <c r="A463" s="285" t="s">
        <v>23</v>
      </c>
      <c r="B463" s="290">
        <f>C463*1.54</f>
        <v>30.8</v>
      </c>
      <c r="C463" s="390">
        <v>20</v>
      </c>
      <c r="D463" s="281"/>
      <c r="E463" s="283"/>
      <c r="F463" s="287"/>
      <c r="G463" s="287"/>
      <c r="H463" s="290"/>
      <c r="I463" s="288"/>
      <c r="J463" s="288"/>
      <c r="K463" s="14"/>
      <c r="L463" s="24"/>
      <c r="M463" s="24"/>
    </row>
    <row r="464" spans="1:36" s="18" customFormat="1" ht="24.75" customHeight="1">
      <c r="A464" s="285" t="s">
        <v>24</v>
      </c>
      <c r="B464" s="290">
        <f>C464*1.67</f>
        <v>33.4</v>
      </c>
      <c r="C464" s="390">
        <v>20</v>
      </c>
      <c r="D464" s="281"/>
      <c r="E464" s="283"/>
      <c r="F464" s="287"/>
      <c r="G464" s="287"/>
      <c r="H464" s="290"/>
      <c r="I464" s="288"/>
      <c r="J464" s="288"/>
      <c r="K464" s="1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</row>
    <row r="465" spans="1:36" s="18" customFormat="1" ht="24.75" customHeight="1">
      <c r="A465" s="285" t="s">
        <v>52</v>
      </c>
      <c r="B465" s="290">
        <f>C465*1.25</f>
        <v>25</v>
      </c>
      <c r="C465" s="390">
        <v>20</v>
      </c>
      <c r="D465" s="281"/>
      <c r="E465" s="283"/>
      <c r="F465" s="287"/>
      <c r="G465" s="287"/>
      <c r="H465" s="290"/>
      <c r="I465" s="288"/>
      <c r="J465" s="288"/>
      <c r="K465" s="1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</row>
    <row r="466" spans="1:36" s="18" customFormat="1" ht="24.75" customHeight="1" thickBot="1">
      <c r="A466" s="285" t="s">
        <v>19</v>
      </c>
      <c r="B466" s="290">
        <f>C466*1.33</f>
        <v>26.6</v>
      </c>
      <c r="C466" s="390">
        <v>20</v>
      </c>
      <c r="D466" s="281"/>
      <c r="E466" s="283"/>
      <c r="F466" s="287"/>
      <c r="G466" s="287"/>
      <c r="H466" s="290"/>
      <c r="I466" s="288"/>
      <c r="J466" s="288"/>
      <c r="K466" s="14"/>
      <c r="L466" s="115" t="s">
        <v>42</v>
      </c>
      <c r="M466" s="82"/>
      <c r="N466" s="8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</row>
    <row r="467" spans="1:36" s="18" customFormat="1" ht="24.75" customHeight="1">
      <c r="A467" s="285" t="s">
        <v>25</v>
      </c>
      <c r="B467" s="290">
        <f>C467*1.25</f>
        <v>25</v>
      </c>
      <c r="C467" s="390">
        <v>20</v>
      </c>
      <c r="D467" s="281"/>
      <c r="E467" s="283"/>
      <c r="F467" s="36"/>
      <c r="G467" s="36"/>
      <c r="H467" s="75"/>
      <c r="I467" s="192"/>
      <c r="J467" s="192"/>
      <c r="K467" s="14"/>
      <c r="L467" s="42" t="s">
        <v>70</v>
      </c>
      <c r="M467" s="79">
        <f>D607+D650</f>
        <v>120</v>
      </c>
      <c r="N467" s="8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</row>
    <row r="468" spans="1:36" s="18" customFormat="1" ht="24.75" customHeight="1">
      <c r="A468" s="285" t="s">
        <v>19</v>
      </c>
      <c r="B468" s="290">
        <f>C468*1.33</f>
        <v>26.6</v>
      </c>
      <c r="C468" s="390">
        <v>20</v>
      </c>
      <c r="D468" s="281"/>
      <c r="E468" s="283"/>
      <c r="F468" s="287"/>
      <c r="G468" s="287"/>
      <c r="H468" s="290"/>
      <c r="I468" s="288"/>
      <c r="J468" s="288"/>
      <c r="K468" s="14"/>
      <c r="L468" s="25" t="s">
        <v>80</v>
      </c>
      <c r="M468" s="79">
        <f>D606+D557+D651+B540+B555+B587+B591</f>
        <v>167.3</v>
      </c>
      <c r="N468" s="84">
        <f>B540+D557+D606+D651</f>
        <v>133.3</v>
      </c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</row>
    <row r="469" spans="1:14" ht="24.75" customHeight="1">
      <c r="A469" s="269" t="s">
        <v>202</v>
      </c>
      <c r="B469" s="272">
        <f>C469*1.11</f>
        <v>17.76</v>
      </c>
      <c r="C469" s="390">
        <v>16</v>
      </c>
      <c r="D469" s="281"/>
      <c r="E469" s="283"/>
      <c r="F469" s="287"/>
      <c r="G469" s="287"/>
      <c r="H469" s="290"/>
      <c r="I469" s="288"/>
      <c r="J469" s="288"/>
      <c r="K469" s="14"/>
      <c r="L469" s="25" t="s">
        <v>81</v>
      </c>
      <c r="M469" s="79">
        <f>B610+B639+B534</f>
        <v>55</v>
      </c>
      <c r="N469" s="84"/>
    </row>
    <row r="470" spans="1:14" ht="24.75" customHeight="1">
      <c r="A470" s="285" t="s">
        <v>26</v>
      </c>
      <c r="B470" s="290">
        <f>C470*1.19</f>
        <v>5.949999999999999</v>
      </c>
      <c r="C470" s="390">
        <v>5</v>
      </c>
      <c r="D470" s="281"/>
      <c r="E470" s="283"/>
      <c r="F470" s="287"/>
      <c r="G470" s="287"/>
      <c r="H470" s="290"/>
      <c r="I470" s="288"/>
      <c r="J470" s="288"/>
      <c r="K470" s="14"/>
      <c r="L470" s="26" t="s">
        <v>123</v>
      </c>
      <c r="M470" s="79">
        <f>++B550</f>
        <v>15</v>
      </c>
      <c r="N470" s="84"/>
    </row>
    <row r="471" spans="1:14" ht="24.75" customHeight="1">
      <c r="A471" s="285" t="s">
        <v>20</v>
      </c>
      <c r="B471" s="290">
        <v>5</v>
      </c>
      <c r="C471" s="390">
        <v>5</v>
      </c>
      <c r="D471" s="281"/>
      <c r="E471" s="283"/>
      <c r="F471" s="287"/>
      <c r="G471" s="287"/>
      <c r="H471" s="290"/>
      <c r="I471" s="288"/>
      <c r="J471" s="288"/>
      <c r="K471" s="15"/>
      <c r="L471" s="26"/>
      <c r="M471" s="79">
        <f>B644</f>
        <v>70</v>
      </c>
      <c r="N471" s="84"/>
    </row>
    <row r="472" spans="1:14" ht="24.75" customHeight="1">
      <c r="A472" s="510" t="s">
        <v>289</v>
      </c>
      <c r="B472" s="510"/>
      <c r="C472" s="510"/>
      <c r="D472" s="510"/>
      <c r="E472" s="510"/>
      <c r="F472" s="510"/>
      <c r="G472" s="510"/>
      <c r="H472" s="510"/>
      <c r="I472" s="510"/>
      <c r="J472" s="510"/>
      <c r="K472" s="14"/>
      <c r="L472" s="25" t="s">
        <v>137</v>
      </c>
      <c r="M472" s="79">
        <f>B571+B596</f>
        <v>208.81</v>
      </c>
      <c r="N472" s="84"/>
    </row>
    <row r="473" spans="1:14" ht="24.75" customHeight="1">
      <c r="A473" s="501" t="s">
        <v>290</v>
      </c>
      <c r="B473" s="501"/>
      <c r="C473" s="501"/>
      <c r="D473" s="227">
        <v>80</v>
      </c>
      <c r="E473" s="201">
        <v>1</v>
      </c>
      <c r="F473" s="201">
        <v>5</v>
      </c>
      <c r="G473" s="201">
        <v>4.8</v>
      </c>
      <c r="H473" s="202">
        <f>E473*4+F473*9+G473*4</f>
        <v>68.2</v>
      </c>
      <c r="I473" s="263">
        <v>0.04</v>
      </c>
      <c r="J473" s="263" t="s">
        <v>493</v>
      </c>
      <c r="K473" s="14"/>
      <c r="L473" s="25" t="s">
        <v>82</v>
      </c>
      <c r="M473" s="79">
        <f>B562+B563++B576+B577+B581++B620+B627+B630+B575+B594+B588+B600+B602+B603</f>
        <v>399.58</v>
      </c>
      <c r="N473" s="84"/>
    </row>
    <row r="474" spans="1:36" s="18" customFormat="1" ht="24.75" customHeight="1">
      <c r="A474" s="285" t="s">
        <v>21</v>
      </c>
      <c r="B474" s="290">
        <f>C474*1.33</f>
        <v>21.28</v>
      </c>
      <c r="C474" s="390">
        <v>16</v>
      </c>
      <c r="D474" s="281"/>
      <c r="E474" s="283"/>
      <c r="F474" s="283"/>
      <c r="G474" s="283"/>
      <c r="H474" s="283"/>
      <c r="I474" s="284"/>
      <c r="J474" s="284"/>
      <c r="K474" s="14"/>
      <c r="L474" s="25" t="s">
        <v>83</v>
      </c>
      <c r="M474" s="79">
        <f>+D559+B537+B580</f>
        <v>222.75</v>
      </c>
      <c r="N474" s="109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</row>
    <row r="475" spans="1:14" ht="24.75" customHeight="1">
      <c r="A475" s="285" t="s">
        <v>22</v>
      </c>
      <c r="B475" s="290">
        <f>C475*1.43</f>
        <v>22.88</v>
      </c>
      <c r="C475" s="390">
        <v>16</v>
      </c>
      <c r="D475" s="281"/>
      <c r="E475" s="283"/>
      <c r="F475" s="283"/>
      <c r="G475" s="283"/>
      <c r="H475" s="283"/>
      <c r="I475" s="411"/>
      <c r="J475" s="411"/>
      <c r="K475" s="14"/>
      <c r="L475" s="25" t="s">
        <v>124</v>
      </c>
      <c r="M475" s="79">
        <f>D605</f>
        <v>200</v>
      </c>
      <c r="N475" s="84"/>
    </row>
    <row r="476" spans="1:14" ht="24.75" customHeight="1">
      <c r="A476" s="285" t="s">
        <v>23</v>
      </c>
      <c r="B476" s="290">
        <f>C476*1.54</f>
        <v>24.64</v>
      </c>
      <c r="C476" s="390">
        <v>16</v>
      </c>
      <c r="D476" s="281"/>
      <c r="E476" s="283"/>
      <c r="F476" s="287"/>
      <c r="G476" s="287"/>
      <c r="H476" s="290"/>
      <c r="I476" s="364"/>
      <c r="J476" s="364"/>
      <c r="K476" s="14"/>
      <c r="L476" s="25" t="s">
        <v>84</v>
      </c>
      <c r="M476" s="79"/>
      <c r="N476" s="84">
        <f>B535+B545+B611+B624</f>
        <v>34.1</v>
      </c>
    </row>
    <row r="477" spans="1:14" ht="24.75" customHeight="1">
      <c r="A477" s="285" t="s">
        <v>24</v>
      </c>
      <c r="B477" s="290">
        <f>C477*1.67</f>
        <v>26.72</v>
      </c>
      <c r="C477" s="390">
        <v>16</v>
      </c>
      <c r="D477" s="281"/>
      <c r="E477" s="283"/>
      <c r="F477" s="287"/>
      <c r="G477" s="287"/>
      <c r="H477" s="290"/>
      <c r="I477" s="364"/>
      <c r="J477" s="364"/>
      <c r="K477" s="14"/>
      <c r="L477" s="25" t="s">
        <v>85</v>
      </c>
      <c r="M477" s="79">
        <f>B535+B545++B624+B611++B553+B649</f>
        <v>52.1</v>
      </c>
      <c r="N477" s="84"/>
    </row>
    <row r="478" spans="1:14" ht="24.75" customHeight="1">
      <c r="A478" s="285" t="s">
        <v>52</v>
      </c>
      <c r="B478" s="290">
        <f>C478*1.25</f>
        <v>20</v>
      </c>
      <c r="C478" s="390">
        <v>16</v>
      </c>
      <c r="D478" s="281"/>
      <c r="E478" s="283"/>
      <c r="F478" s="287"/>
      <c r="G478" s="287"/>
      <c r="H478" s="290"/>
      <c r="I478" s="364"/>
      <c r="J478" s="364"/>
      <c r="K478" s="14"/>
      <c r="L478" s="195" t="s">
        <v>197</v>
      </c>
      <c r="M478" s="156"/>
      <c r="N478" s="84"/>
    </row>
    <row r="479" spans="1:36" s="18" customFormat="1" ht="24.75" customHeight="1">
      <c r="A479" s="285" t="s">
        <v>19</v>
      </c>
      <c r="B479" s="290">
        <f>C479*1.33</f>
        <v>21.28</v>
      </c>
      <c r="C479" s="390">
        <v>16</v>
      </c>
      <c r="D479" s="281"/>
      <c r="E479" s="283"/>
      <c r="F479" s="287"/>
      <c r="G479" s="287"/>
      <c r="H479" s="290"/>
      <c r="I479" s="364"/>
      <c r="J479" s="364"/>
      <c r="K479" s="14"/>
      <c r="L479" s="25" t="s">
        <v>125</v>
      </c>
      <c r="M479" s="79">
        <f>B544</f>
        <v>2</v>
      </c>
      <c r="N479" s="8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</row>
    <row r="480" spans="1:14" s="7" customFormat="1" ht="24.75" customHeight="1">
      <c r="A480" s="285" t="s">
        <v>25</v>
      </c>
      <c r="B480" s="290">
        <f>C480*1.25</f>
        <v>20</v>
      </c>
      <c r="C480" s="390">
        <v>16</v>
      </c>
      <c r="D480" s="281"/>
      <c r="E480" s="283"/>
      <c r="F480" s="287"/>
      <c r="G480" s="36"/>
      <c r="H480" s="75"/>
      <c r="I480" s="192"/>
      <c r="J480" s="192"/>
      <c r="K480" s="14"/>
      <c r="L480" s="25" t="s">
        <v>86</v>
      </c>
      <c r="M480" s="79">
        <f>B623</f>
        <v>0.4</v>
      </c>
      <c r="N480" s="84"/>
    </row>
    <row r="481" spans="1:36" s="18" customFormat="1" ht="24.75" customHeight="1">
      <c r="A481" s="285" t="s">
        <v>19</v>
      </c>
      <c r="B481" s="290">
        <f>C481*1.33</f>
        <v>21.28</v>
      </c>
      <c r="C481" s="390">
        <v>16</v>
      </c>
      <c r="D481" s="281"/>
      <c r="E481" s="283"/>
      <c r="F481" s="287"/>
      <c r="G481" s="287"/>
      <c r="H481" s="290"/>
      <c r="I481" s="364"/>
      <c r="J481" s="364"/>
      <c r="K481" s="14"/>
      <c r="L481" s="25" t="s">
        <v>136</v>
      </c>
      <c r="M481" s="79">
        <f>B568+B632</f>
        <v>152.73999999999998</v>
      </c>
      <c r="N481" s="8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</row>
    <row r="482" spans="1:36" s="18" customFormat="1" ht="24.75" customHeight="1">
      <c r="A482" s="269" t="s">
        <v>202</v>
      </c>
      <c r="B482" s="272">
        <f>C482*1.11</f>
        <v>14.430000000000001</v>
      </c>
      <c r="C482" s="390">
        <v>13</v>
      </c>
      <c r="D482" s="281"/>
      <c r="E482" s="283"/>
      <c r="F482" s="287"/>
      <c r="G482" s="287"/>
      <c r="H482" s="290"/>
      <c r="I482" s="364"/>
      <c r="J482" s="364"/>
      <c r="K482" s="14"/>
      <c r="L482" s="151" t="s">
        <v>199</v>
      </c>
      <c r="M482" s="78">
        <f>B584</f>
        <v>136.68</v>
      </c>
      <c r="N482" s="8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</row>
    <row r="483" spans="1:14" ht="24.75" customHeight="1">
      <c r="A483" s="285" t="s">
        <v>26</v>
      </c>
      <c r="B483" s="287">
        <f>C483*1.19</f>
        <v>4.76</v>
      </c>
      <c r="C483" s="390">
        <v>4</v>
      </c>
      <c r="D483" s="281"/>
      <c r="E483" s="283"/>
      <c r="F483" s="287"/>
      <c r="G483" s="287"/>
      <c r="H483" s="290"/>
      <c r="I483" s="364"/>
      <c r="J483" s="364"/>
      <c r="K483" s="14"/>
      <c r="L483" s="25" t="s">
        <v>87</v>
      </c>
      <c r="M483" s="78">
        <f>B619</f>
        <v>59.28</v>
      </c>
      <c r="N483" s="84"/>
    </row>
    <row r="484" spans="1:36" s="18" customFormat="1" ht="24.75" customHeight="1">
      <c r="A484" s="285" t="s">
        <v>291</v>
      </c>
      <c r="B484" s="290">
        <f>C484*1.25</f>
        <v>5</v>
      </c>
      <c r="C484" s="390">
        <v>4</v>
      </c>
      <c r="D484" s="281"/>
      <c r="E484" s="283"/>
      <c r="F484" s="287"/>
      <c r="G484" s="287"/>
      <c r="H484" s="290"/>
      <c r="I484" s="364"/>
      <c r="J484" s="364"/>
      <c r="K484" s="14"/>
      <c r="L484" s="25" t="s">
        <v>127</v>
      </c>
      <c r="M484" s="78">
        <f>B569+B570</f>
        <v>43</v>
      </c>
      <c r="N484" s="8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</row>
    <row r="485" spans="1:36" s="18" customFormat="1" ht="24.75" customHeight="1">
      <c r="A485" s="298" t="s">
        <v>287</v>
      </c>
      <c r="B485" s="290">
        <f>C485*1.7</f>
        <v>28.9</v>
      </c>
      <c r="C485" s="390">
        <v>17</v>
      </c>
      <c r="D485" s="281"/>
      <c r="E485" s="283"/>
      <c r="F485" s="287"/>
      <c r="G485" s="287"/>
      <c r="H485" s="290"/>
      <c r="I485" s="364"/>
      <c r="J485" s="364"/>
      <c r="K485" s="14"/>
      <c r="L485" s="26" t="s">
        <v>128</v>
      </c>
      <c r="M485" s="78" t="e">
        <f>+B546+B548+C637+#REF!+B542+B590</f>
        <v>#REF!</v>
      </c>
      <c r="N485" s="8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</row>
    <row r="486" spans="1:14" ht="24.75" customHeight="1">
      <c r="A486" s="285" t="s">
        <v>20</v>
      </c>
      <c r="B486" s="290">
        <v>5</v>
      </c>
      <c r="C486" s="390">
        <v>5</v>
      </c>
      <c r="D486" s="281"/>
      <c r="E486" s="283"/>
      <c r="F486" s="287"/>
      <c r="G486" s="287"/>
      <c r="H486" s="290"/>
      <c r="I486" s="364"/>
      <c r="J486" s="364"/>
      <c r="K486" s="14"/>
      <c r="L486" s="26"/>
      <c r="M486" s="78">
        <f>B653</f>
        <v>206</v>
      </c>
      <c r="N486" s="84">
        <f>B546+B653</f>
        <v>306</v>
      </c>
    </row>
    <row r="487" spans="1:14" ht="24.75" customHeight="1">
      <c r="A487" s="537" t="s">
        <v>253</v>
      </c>
      <c r="B487" s="537"/>
      <c r="C487" s="537"/>
      <c r="D487" s="537"/>
      <c r="E487" s="537"/>
      <c r="F487" s="537"/>
      <c r="G487" s="537"/>
      <c r="H487" s="537"/>
      <c r="I487" s="537"/>
      <c r="J487" s="537"/>
      <c r="K487" s="14"/>
      <c r="L487" s="25" t="s">
        <v>88</v>
      </c>
      <c r="M487" s="78">
        <f>B532</f>
        <v>71</v>
      </c>
      <c r="N487" s="84"/>
    </row>
    <row r="488" spans="1:14" ht="24.75" customHeight="1">
      <c r="A488" s="496" t="s">
        <v>414</v>
      </c>
      <c r="B488" s="496"/>
      <c r="C488" s="496"/>
      <c r="D488" s="374">
        <v>80</v>
      </c>
      <c r="E488" s="336">
        <v>0.9</v>
      </c>
      <c r="F488" s="336">
        <v>4.9</v>
      </c>
      <c r="G488" s="336">
        <v>5.124999999999999</v>
      </c>
      <c r="H488" s="202">
        <f>E488*4+F488*9+G488*4</f>
        <v>68.2</v>
      </c>
      <c r="I488" s="192">
        <v>12.2</v>
      </c>
      <c r="J488" s="344" t="s">
        <v>415</v>
      </c>
      <c r="K488" s="14"/>
      <c r="L488" s="25" t="s">
        <v>89</v>
      </c>
      <c r="M488" s="78">
        <f>B579++B541</f>
        <v>7</v>
      </c>
      <c r="N488" s="84">
        <f>B541+B579</f>
        <v>7</v>
      </c>
    </row>
    <row r="489" spans="1:14" ht="24.75" customHeight="1">
      <c r="A489" s="269" t="s">
        <v>277</v>
      </c>
      <c r="B489" s="167">
        <f>C489*1.18</f>
        <v>23.599999999999998</v>
      </c>
      <c r="C489" s="343">
        <v>20</v>
      </c>
      <c r="D489" s="343"/>
      <c r="E489" s="342"/>
      <c r="F489" s="342"/>
      <c r="G489" s="342"/>
      <c r="H489" s="343"/>
      <c r="I489" s="309"/>
      <c r="J489" s="310"/>
      <c r="K489" s="14"/>
      <c r="L489" s="25" t="s">
        <v>132</v>
      </c>
      <c r="M489" s="78"/>
      <c r="N489" s="84"/>
    </row>
    <row r="490" spans="1:36" s="18" customFormat="1" ht="24.75" customHeight="1">
      <c r="A490" s="269" t="s">
        <v>264</v>
      </c>
      <c r="B490" s="272">
        <f>C490*1.02</f>
        <v>20.4</v>
      </c>
      <c r="C490" s="343">
        <v>20</v>
      </c>
      <c r="D490" s="343"/>
      <c r="E490" s="271"/>
      <c r="F490" s="271"/>
      <c r="G490" s="271"/>
      <c r="H490" s="270"/>
      <c r="I490" s="309"/>
      <c r="J490" s="310"/>
      <c r="K490" s="21"/>
      <c r="L490" s="25" t="s">
        <v>90</v>
      </c>
      <c r="M490" s="79">
        <f>B539+B578++B615+B645+B556+B642+B552+B638+B641</f>
        <v>39.9</v>
      </c>
      <c r="N490" s="84">
        <f>B539+B578+B615+B645</f>
        <v>16.9</v>
      </c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</row>
    <row r="491" spans="1:36" s="18" customFormat="1" ht="24.75" customHeight="1">
      <c r="A491" s="269" t="s">
        <v>210</v>
      </c>
      <c r="B491" s="272">
        <f>C491*1.05</f>
        <v>21</v>
      </c>
      <c r="C491" s="343">
        <v>20</v>
      </c>
      <c r="D491" s="343"/>
      <c r="E491" s="271"/>
      <c r="F491" s="271"/>
      <c r="G491" s="271"/>
      <c r="H491" s="270"/>
      <c r="I491" s="387"/>
      <c r="J491" s="412"/>
      <c r="K491" s="21"/>
      <c r="L491" s="25" t="s">
        <v>63</v>
      </c>
      <c r="M491" s="79">
        <f>B613+B621+B565+B592+B604</f>
        <v>18.6</v>
      </c>
      <c r="N491" s="84">
        <f>B565+B613+B621</f>
        <v>7.6</v>
      </c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</row>
    <row r="492" spans="1:14" ht="24.75" customHeight="1" thickBot="1">
      <c r="A492" s="269" t="s">
        <v>211</v>
      </c>
      <c r="B492" s="272">
        <f>C492*1.02</f>
        <v>20.4</v>
      </c>
      <c r="C492" s="343">
        <v>20</v>
      </c>
      <c r="D492" s="343"/>
      <c r="E492" s="271"/>
      <c r="F492" s="271"/>
      <c r="G492" s="271"/>
      <c r="H492" s="270"/>
      <c r="I492" s="309"/>
      <c r="J492" s="310"/>
      <c r="K492" s="21"/>
      <c r="L492" s="27" t="s">
        <v>91</v>
      </c>
      <c r="M492" s="78">
        <f>B536+B635+B589</f>
        <v>26.3</v>
      </c>
      <c r="N492" s="84"/>
    </row>
    <row r="493" spans="1:36" s="18" customFormat="1" ht="38.25" customHeight="1">
      <c r="A493" s="413" t="s">
        <v>416</v>
      </c>
      <c r="B493" s="317">
        <f>C493*1.43</f>
        <v>21.45</v>
      </c>
      <c r="C493" s="343">
        <v>15</v>
      </c>
      <c r="D493" s="343"/>
      <c r="E493" s="342"/>
      <c r="F493" s="342"/>
      <c r="G493" s="342"/>
      <c r="H493" s="343"/>
      <c r="I493" s="309"/>
      <c r="J493" s="310"/>
      <c r="K493" s="22"/>
      <c r="L493" s="29" t="s">
        <v>200</v>
      </c>
      <c r="M493" s="82"/>
      <c r="N493" s="8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</row>
    <row r="494" spans="1:36" s="18" customFormat="1" ht="24.75" customHeight="1">
      <c r="A494" s="339" t="s">
        <v>26</v>
      </c>
      <c r="B494" s="266">
        <f>C494*1.19</f>
        <v>9.52</v>
      </c>
      <c r="C494" s="343">
        <v>8</v>
      </c>
      <c r="D494" s="343"/>
      <c r="E494" s="342"/>
      <c r="F494" s="342"/>
      <c r="G494" s="342"/>
      <c r="H494" s="343"/>
      <c r="I494" s="309"/>
      <c r="J494" s="310"/>
      <c r="K494" s="10"/>
      <c r="L494" s="29" t="s">
        <v>206</v>
      </c>
      <c r="M494" s="156">
        <f>B616</f>
        <v>0.7</v>
      </c>
      <c r="N494" s="8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</row>
    <row r="495" spans="1:36" s="3" customFormat="1" ht="24.75" customHeight="1">
      <c r="A495" s="339" t="s">
        <v>291</v>
      </c>
      <c r="B495" s="167">
        <f>C495*1.25</f>
        <v>10</v>
      </c>
      <c r="C495" s="343">
        <v>8</v>
      </c>
      <c r="D495" s="343"/>
      <c r="E495" s="342"/>
      <c r="F495" s="342"/>
      <c r="G495" s="342"/>
      <c r="H495" s="343"/>
      <c r="I495" s="309"/>
      <c r="J495" s="310"/>
      <c r="K495" s="10"/>
      <c r="N495" s="84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s="3" customFormat="1" ht="24.75" customHeight="1">
      <c r="A496" s="339" t="s">
        <v>336</v>
      </c>
      <c r="B496" s="340">
        <v>22.999999999999996</v>
      </c>
      <c r="C496" s="340">
        <v>14</v>
      </c>
      <c r="D496" s="343"/>
      <c r="E496" s="342"/>
      <c r="F496" s="342"/>
      <c r="G496" s="342"/>
      <c r="H496" s="343"/>
      <c r="I496" s="309"/>
      <c r="J496" s="310"/>
      <c r="K496" s="10"/>
      <c r="N496" s="84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s="3" customFormat="1" ht="24.75" customHeight="1">
      <c r="A497" s="269" t="s">
        <v>20</v>
      </c>
      <c r="B497" s="343">
        <v>5</v>
      </c>
      <c r="C497" s="343">
        <v>5</v>
      </c>
      <c r="D497" s="343"/>
      <c r="E497" s="342"/>
      <c r="F497" s="342"/>
      <c r="G497" s="342"/>
      <c r="H497" s="343"/>
      <c r="I497" s="309"/>
      <c r="J497" s="310"/>
      <c r="K497" s="10"/>
      <c r="N497" s="84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s="3" customFormat="1" ht="24.75" customHeight="1">
      <c r="A498" s="262" t="s">
        <v>187</v>
      </c>
      <c r="B498" s="272"/>
      <c r="C498" s="272"/>
      <c r="D498" s="113" t="s">
        <v>239</v>
      </c>
      <c r="E498" s="36">
        <v>9.6</v>
      </c>
      <c r="F498" s="36">
        <v>10.7</v>
      </c>
      <c r="G498" s="36">
        <v>5.3</v>
      </c>
      <c r="H498" s="75">
        <f>E498*4+F498*9+G498*4</f>
        <v>155.89999999999998</v>
      </c>
      <c r="I498" s="192">
        <v>4.51</v>
      </c>
      <c r="J498" s="192" t="s">
        <v>334</v>
      </c>
      <c r="K498" s="11"/>
      <c r="N498" s="84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s="3" customFormat="1" ht="29.25" customHeight="1">
      <c r="A499" s="326" t="s">
        <v>152</v>
      </c>
      <c r="B499" s="328">
        <f>C499*1.5</f>
        <v>178.5</v>
      </c>
      <c r="C499" s="272">
        <v>119</v>
      </c>
      <c r="D499" s="272"/>
      <c r="E499" s="271"/>
      <c r="F499" s="271"/>
      <c r="G499" s="271"/>
      <c r="H499" s="271"/>
      <c r="I499" s="271"/>
      <c r="J499" s="273"/>
      <c r="K499" s="10"/>
      <c r="N499" s="84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s="3" customFormat="1" ht="34.5" customHeight="1">
      <c r="A500" s="326" t="s">
        <v>160</v>
      </c>
      <c r="B500" s="328">
        <f>C500*1.82</f>
        <v>216.58</v>
      </c>
      <c r="C500" s="270">
        <v>119</v>
      </c>
      <c r="D500" s="272"/>
      <c r="E500" s="36"/>
      <c r="F500" s="36"/>
      <c r="G500" s="36"/>
      <c r="H500" s="75"/>
      <c r="I500" s="192"/>
      <c r="J500" s="192"/>
      <c r="K500" s="10"/>
      <c r="N500" s="84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s="3" customFormat="1" ht="29.25" customHeight="1">
      <c r="A501" s="326" t="s">
        <v>115</v>
      </c>
      <c r="B501" s="328">
        <f>C501*1.35</f>
        <v>152.55</v>
      </c>
      <c r="C501" s="272">
        <v>113</v>
      </c>
      <c r="D501" s="272"/>
      <c r="E501" s="414"/>
      <c r="F501" s="271"/>
      <c r="G501" s="271"/>
      <c r="H501" s="270"/>
      <c r="I501" s="273"/>
      <c r="J501" s="273"/>
      <c r="K501" s="64"/>
      <c r="N501" s="84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s="3" customFormat="1" ht="42" customHeight="1">
      <c r="A502" s="324" t="s">
        <v>244</v>
      </c>
      <c r="B502" s="325">
        <f>C502*1.82</f>
        <v>216.58</v>
      </c>
      <c r="C502" s="329">
        <v>119</v>
      </c>
      <c r="D502" s="272"/>
      <c r="E502" s="414"/>
      <c r="F502" s="271"/>
      <c r="G502" s="271"/>
      <c r="H502" s="270"/>
      <c r="I502" s="273"/>
      <c r="J502" s="273"/>
      <c r="K502" s="64"/>
      <c r="N502" s="84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s="3" customFormat="1" ht="24.75" customHeight="1">
      <c r="A503" s="269" t="s">
        <v>20</v>
      </c>
      <c r="B503" s="272">
        <v>10</v>
      </c>
      <c r="C503" s="272">
        <v>10</v>
      </c>
      <c r="D503" s="272"/>
      <c r="E503" s="414"/>
      <c r="F503" s="271"/>
      <c r="G503" s="271"/>
      <c r="H503" s="272"/>
      <c r="I503" s="273"/>
      <c r="J503" s="273"/>
      <c r="K503" s="64"/>
      <c r="N503" s="84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14" s="159" customFormat="1" ht="24.75" customHeight="1">
      <c r="A504" s="269" t="s">
        <v>28</v>
      </c>
      <c r="B504" s="270">
        <v>8</v>
      </c>
      <c r="C504" s="272">
        <v>8</v>
      </c>
      <c r="D504" s="272"/>
      <c r="E504" s="414"/>
      <c r="F504" s="271"/>
      <c r="G504" s="271"/>
      <c r="H504" s="272"/>
      <c r="I504" s="273"/>
      <c r="J504" s="273"/>
      <c r="K504" s="158"/>
      <c r="N504" s="109"/>
    </row>
    <row r="505" spans="1:36" s="3" customFormat="1" ht="24.75" customHeight="1">
      <c r="A505" s="285" t="s">
        <v>120</v>
      </c>
      <c r="B505" s="290">
        <f>C505*1.02</f>
        <v>38.76</v>
      </c>
      <c r="C505" s="272">
        <v>38</v>
      </c>
      <c r="D505" s="272"/>
      <c r="E505" s="414"/>
      <c r="F505" s="271"/>
      <c r="G505" s="36"/>
      <c r="H505" s="75"/>
      <c r="I505" s="192"/>
      <c r="J505" s="192"/>
      <c r="K505" s="64"/>
      <c r="N505" s="84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s="3" customFormat="1" ht="24.75" customHeight="1">
      <c r="A506" s="285" t="s">
        <v>215</v>
      </c>
      <c r="B506" s="290">
        <f>C506*1.18</f>
        <v>44.839999999999996</v>
      </c>
      <c r="C506" s="272">
        <v>38</v>
      </c>
      <c r="D506" s="272"/>
      <c r="E506" s="414"/>
      <c r="F506" s="271"/>
      <c r="G506" s="36"/>
      <c r="H506" s="75"/>
      <c r="I506" s="192"/>
      <c r="J506" s="192"/>
      <c r="K506" s="64"/>
      <c r="N506" s="84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s="3" customFormat="1" ht="24.75" customHeight="1">
      <c r="A507" s="269" t="s">
        <v>93</v>
      </c>
      <c r="B507" s="270">
        <v>7</v>
      </c>
      <c r="C507" s="270">
        <v>7</v>
      </c>
      <c r="D507" s="272"/>
      <c r="E507" s="414"/>
      <c r="F507" s="271"/>
      <c r="G507" s="271"/>
      <c r="H507" s="272"/>
      <c r="I507" s="273"/>
      <c r="J507" s="273"/>
      <c r="K507" s="64"/>
      <c r="N507" s="84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s="9" customFormat="1" ht="24.75" customHeight="1">
      <c r="A508" s="269" t="s">
        <v>27</v>
      </c>
      <c r="B508" s="270">
        <v>5</v>
      </c>
      <c r="C508" s="270">
        <v>5</v>
      </c>
      <c r="D508" s="270"/>
      <c r="E508" s="271"/>
      <c r="F508" s="271"/>
      <c r="G508" s="271"/>
      <c r="H508" s="272"/>
      <c r="I508" s="273"/>
      <c r="J508" s="273"/>
      <c r="K508" s="64"/>
      <c r="N508" s="84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</row>
    <row r="509" spans="1:36" s="18" customFormat="1" ht="24.75" customHeight="1">
      <c r="A509" s="501" t="s">
        <v>145</v>
      </c>
      <c r="B509" s="501"/>
      <c r="C509" s="501"/>
      <c r="D509" s="113">
        <v>200</v>
      </c>
      <c r="E509" s="36">
        <v>4</v>
      </c>
      <c r="F509" s="36">
        <v>6.2</v>
      </c>
      <c r="G509" s="36">
        <v>32.61538461538461</v>
      </c>
      <c r="H509" s="75">
        <f>E509*4+F509*9+G509*4</f>
        <v>202.26153846153846</v>
      </c>
      <c r="I509" s="192">
        <v>12.37</v>
      </c>
      <c r="J509" s="192" t="s">
        <v>365</v>
      </c>
      <c r="K509" s="64"/>
      <c r="L509" s="29"/>
      <c r="M509" s="82"/>
      <c r="N509" s="8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</row>
    <row r="510" spans="1:36" s="18" customFormat="1" ht="24.75" customHeight="1">
      <c r="A510" s="269" t="s">
        <v>21</v>
      </c>
      <c r="B510" s="290">
        <f>C510*1.33</f>
        <v>252.70000000000002</v>
      </c>
      <c r="C510" s="272">
        <v>190</v>
      </c>
      <c r="D510" s="281"/>
      <c r="E510" s="283"/>
      <c r="F510" s="283"/>
      <c r="G510" s="283"/>
      <c r="H510" s="281"/>
      <c r="I510" s="284"/>
      <c r="J510" s="284"/>
      <c r="K510" s="64"/>
      <c r="L510" s="29"/>
      <c r="M510" s="82"/>
      <c r="N510" s="8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</row>
    <row r="511" spans="1:14" ht="24.75" customHeight="1">
      <c r="A511" s="269" t="s">
        <v>22</v>
      </c>
      <c r="B511" s="290">
        <f>C511*1.43</f>
        <v>271.7</v>
      </c>
      <c r="C511" s="272">
        <v>190</v>
      </c>
      <c r="D511" s="281"/>
      <c r="E511" s="271"/>
      <c r="F511" s="271"/>
      <c r="G511" s="271"/>
      <c r="H511" s="272"/>
      <c r="I511" s="273"/>
      <c r="J511" s="273"/>
      <c r="N511" s="84"/>
    </row>
    <row r="512" spans="1:36" s="18" customFormat="1" ht="24.75" customHeight="1">
      <c r="A512" s="285" t="s">
        <v>23</v>
      </c>
      <c r="B512" s="290">
        <f>C512*1.54</f>
        <v>292.6</v>
      </c>
      <c r="C512" s="272">
        <v>190</v>
      </c>
      <c r="D512" s="281"/>
      <c r="E512" s="271"/>
      <c r="F512" s="271"/>
      <c r="G512" s="271"/>
      <c r="H512" s="272"/>
      <c r="I512" s="273"/>
      <c r="J512" s="273"/>
      <c r="K512" s="64"/>
      <c r="L512" s="29"/>
      <c r="M512" s="82"/>
      <c r="N512" s="8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</row>
    <row r="513" spans="1:36" s="18" customFormat="1" ht="24.75" customHeight="1">
      <c r="A513" s="285" t="s">
        <v>24</v>
      </c>
      <c r="B513" s="290">
        <f>C513*1.67</f>
        <v>317.3</v>
      </c>
      <c r="C513" s="272">
        <v>190</v>
      </c>
      <c r="D513" s="281"/>
      <c r="E513" s="271"/>
      <c r="F513" s="271"/>
      <c r="G513" s="271"/>
      <c r="H513" s="272"/>
      <c r="I513" s="273"/>
      <c r="J513" s="273"/>
      <c r="K513" s="100"/>
      <c r="L513" s="29"/>
      <c r="M513" s="82"/>
      <c r="N513" s="8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</row>
    <row r="514" spans="1:14" ht="24.75" customHeight="1">
      <c r="A514" s="269" t="s">
        <v>27</v>
      </c>
      <c r="B514" s="272">
        <v>10</v>
      </c>
      <c r="C514" s="272">
        <v>10</v>
      </c>
      <c r="D514" s="281"/>
      <c r="E514" s="271"/>
      <c r="F514" s="271"/>
      <c r="G514" s="271"/>
      <c r="H514" s="272"/>
      <c r="I514" s="273"/>
      <c r="J514" s="273"/>
      <c r="K514" s="10"/>
      <c r="N514" s="84"/>
    </row>
    <row r="515" spans="1:14" s="18" customFormat="1" ht="24.75" customHeight="1">
      <c r="A515" s="285" t="s">
        <v>68</v>
      </c>
      <c r="B515" s="290">
        <v>3</v>
      </c>
      <c r="C515" s="286">
        <v>2</v>
      </c>
      <c r="D515" s="270"/>
      <c r="E515" s="271"/>
      <c r="F515" s="271"/>
      <c r="G515" s="271"/>
      <c r="H515" s="272"/>
      <c r="I515" s="273"/>
      <c r="J515" s="273"/>
      <c r="K515" s="10"/>
      <c r="L515" s="29"/>
      <c r="M515" s="82"/>
      <c r="N515" s="84"/>
    </row>
    <row r="516" spans="1:14" s="18" customFormat="1" ht="24.75" customHeight="1">
      <c r="A516" s="501" t="s">
        <v>14</v>
      </c>
      <c r="B516" s="501"/>
      <c r="C516" s="501"/>
      <c r="D516" s="113" t="s">
        <v>15</v>
      </c>
      <c r="E516" s="36">
        <v>0.2</v>
      </c>
      <c r="F516" s="36">
        <v>0</v>
      </c>
      <c r="G516" s="36">
        <v>15.3</v>
      </c>
      <c r="H516" s="75">
        <v>58</v>
      </c>
      <c r="I516" s="192">
        <v>0.8</v>
      </c>
      <c r="J516" s="192" t="s">
        <v>385</v>
      </c>
      <c r="K516" s="10"/>
      <c r="L516" s="29"/>
      <c r="M516" s="82"/>
      <c r="N516" s="84"/>
    </row>
    <row r="517" spans="1:11" s="18" customFormat="1" ht="24.75" customHeight="1">
      <c r="A517" s="269" t="s">
        <v>16</v>
      </c>
      <c r="B517" s="270">
        <v>0.4</v>
      </c>
      <c r="C517" s="270">
        <v>0.4</v>
      </c>
      <c r="D517" s="270"/>
      <c r="E517" s="271"/>
      <c r="F517" s="271"/>
      <c r="G517" s="271"/>
      <c r="H517" s="272"/>
      <c r="I517" s="273"/>
      <c r="J517" s="273"/>
      <c r="K517" s="11"/>
    </row>
    <row r="518" spans="1:11" s="18" customFormat="1" ht="24.75" customHeight="1">
      <c r="A518" s="285" t="s">
        <v>12</v>
      </c>
      <c r="B518" s="270">
        <v>15</v>
      </c>
      <c r="C518" s="270">
        <v>15</v>
      </c>
      <c r="D518" s="270"/>
      <c r="E518" s="271"/>
      <c r="F518" s="271"/>
      <c r="G518" s="271"/>
      <c r="H518" s="272"/>
      <c r="I518" s="273"/>
      <c r="J518" s="273"/>
      <c r="K518" s="11"/>
    </row>
    <row r="519" spans="1:11" s="18" customFormat="1" ht="24.75" customHeight="1">
      <c r="A519" s="285" t="s">
        <v>17</v>
      </c>
      <c r="B519" s="270">
        <v>6</v>
      </c>
      <c r="C519" s="270">
        <v>5</v>
      </c>
      <c r="D519" s="270"/>
      <c r="E519" s="271"/>
      <c r="F519" s="271"/>
      <c r="G519" s="271"/>
      <c r="H519" s="271"/>
      <c r="I519" s="273"/>
      <c r="J519" s="273"/>
      <c r="K519" s="11"/>
    </row>
    <row r="520" spans="1:11" s="18" customFormat="1" ht="24.75" customHeight="1">
      <c r="A520" s="506" t="s">
        <v>70</v>
      </c>
      <c r="B520" s="506"/>
      <c r="C520" s="506"/>
      <c r="D520" s="227">
        <v>30</v>
      </c>
      <c r="E520" s="201">
        <v>1.98</v>
      </c>
      <c r="F520" s="201">
        <v>0.36</v>
      </c>
      <c r="G520" s="201">
        <v>10.02</v>
      </c>
      <c r="H520" s="202">
        <v>51.23999999999999</v>
      </c>
      <c r="I520" s="263">
        <v>0</v>
      </c>
      <c r="J520" s="263"/>
      <c r="K520" s="222"/>
    </row>
    <row r="521" spans="1:11" s="18" customFormat="1" ht="24.75" customHeight="1">
      <c r="A521" s="501" t="s">
        <v>267</v>
      </c>
      <c r="B521" s="501"/>
      <c r="C521" s="501"/>
      <c r="D521" s="113">
        <v>50</v>
      </c>
      <c r="E521" s="36">
        <v>4.1</v>
      </c>
      <c r="F521" s="36">
        <v>0.7000000000000001</v>
      </c>
      <c r="G521" s="36">
        <v>19</v>
      </c>
      <c r="H521" s="75">
        <v>98.69999999999999</v>
      </c>
      <c r="I521" s="192">
        <v>0</v>
      </c>
      <c r="J521" s="192"/>
      <c r="K521" s="10"/>
    </row>
    <row r="522" spans="1:11" s="18" customFormat="1" ht="24.75" customHeight="1">
      <c r="A522" s="510" t="s">
        <v>220</v>
      </c>
      <c r="B522" s="510"/>
      <c r="C522" s="510"/>
      <c r="D522" s="510"/>
      <c r="E522" s="510"/>
      <c r="F522" s="510"/>
      <c r="G522" s="510"/>
      <c r="H522" s="510"/>
      <c r="I522" s="510"/>
      <c r="J522" s="510"/>
      <c r="K522" s="10"/>
    </row>
    <row r="523" spans="1:36" s="18" customFormat="1" ht="51.75" customHeight="1">
      <c r="A523" s="332" t="s">
        <v>246</v>
      </c>
      <c r="B523" s="265">
        <v>206</v>
      </c>
      <c r="C523" s="281">
        <v>200</v>
      </c>
      <c r="D523" s="227">
        <v>200</v>
      </c>
      <c r="E523" s="201">
        <v>4.2</v>
      </c>
      <c r="F523" s="201">
        <v>4.8</v>
      </c>
      <c r="G523" s="201">
        <v>8</v>
      </c>
      <c r="H523" s="202">
        <f>E523*4+F523*9+G523*4</f>
        <v>92</v>
      </c>
      <c r="I523" s="263">
        <v>1.37</v>
      </c>
      <c r="J523" s="263" t="s">
        <v>364</v>
      </c>
      <c r="K523" s="10"/>
      <c r="L523" s="29"/>
      <c r="M523" s="82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</row>
    <row r="524" spans="1:11" ht="24.75" customHeight="1">
      <c r="A524" s="482" t="s">
        <v>140</v>
      </c>
      <c r="B524" s="482"/>
      <c r="C524" s="482"/>
      <c r="D524" s="482"/>
      <c r="E524" s="334">
        <f>E406+E522+E459+E455+E408+E387</f>
        <v>77.19142857142856</v>
      </c>
      <c r="F524" s="334">
        <f>F406+F522+F459+F455+F408+F387</f>
        <v>88.03999999999999</v>
      </c>
      <c r="G524" s="348">
        <f>G406+G522+G459+G455+G408+G387</f>
        <v>370.24871794871797</v>
      </c>
      <c r="H524" s="352">
        <f>H406+H522+H459+H455+H408+H387</f>
        <v>2577.5605860805863</v>
      </c>
      <c r="I524" s="386">
        <f>I406+I522+I459+I455+I408+I387</f>
        <v>85.32</v>
      </c>
      <c r="J524" s="334"/>
      <c r="K524" s="10"/>
    </row>
    <row r="525" spans="1:11" ht="24.75" customHeight="1">
      <c r="A525" s="493" t="s">
        <v>0</v>
      </c>
      <c r="B525" s="493"/>
      <c r="C525" s="493"/>
      <c r="D525" s="493"/>
      <c r="E525" s="493"/>
      <c r="F525" s="493"/>
      <c r="G525" s="493"/>
      <c r="H525" s="493"/>
      <c r="I525" s="493"/>
      <c r="J525" s="493"/>
      <c r="K525" s="10"/>
    </row>
    <row r="526" spans="1:36" s="18" customFormat="1" ht="24.75" customHeight="1">
      <c r="A526" s="493" t="s">
        <v>42</v>
      </c>
      <c r="B526" s="493"/>
      <c r="C526" s="493"/>
      <c r="D526" s="493"/>
      <c r="E526" s="493"/>
      <c r="F526" s="493"/>
      <c r="G526" s="493"/>
      <c r="H526" s="493"/>
      <c r="I526" s="493"/>
      <c r="J526" s="493"/>
      <c r="K526" s="14"/>
      <c r="L526" s="29"/>
      <c r="M526" s="82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</row>
    <row r="527" spans="1:36" s="18" customFormat="1" ht="24.75" customHeight="1">
      <c r="A527" s="498" t="s">
        <v>2</v>
      </c>
      <c r="B527" s="497" t="s">
        <v>3</v>
      </c>
      <c r="C527" s="497" t="s">
        <v>4</v>
      </c>
      <c r="D527" s="498" t="s">
        <v>5</v>
      </c>
      <c r="E527" s="498"/>
      <c r="F527" s="498"/>
      <c r="G527" s="498"/>
      <c r="H527" s="498"/>
      <c r="I527" s="498"/>
      <c r="J527" s="526" t="s">
        <v>302</v>
      </c>
      <c r="K527" s="14"/>
      <c r="L527" s="29"/>
      <c r="M527" s="82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</row>
    <row r="528" spans="1:36" s="18" customFormat="1" ht="24.75" customHeight="1">
      <c r="A528" s="498"/>
      <c r="B528" s="497"/>
      <c r="C528" s="497"/>
      <c r="D528" s="497" t="s">
        <v>6</v>
      </c>
      <c r="E528" s="485" t="s">
        <v>7</v>
      </c>
      <c r="F528" s="485" t="s">
        <v>8</v>
      </c>
      <c r="G528" s="485" t="s">
        <v>9</v>
      </c>
      <c r="H528" s="494" t="s">
        <v>10</v>
      </c>
      <c r="I528" s="527" t="s">
        <v>303</v>
      </c>
      <c r="J528" s="526"/>
      <c r="K528" s="14"/>
      <c r="L528" s="29"/>
      <c r="M528" s="82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</row>
    <row r="529" spans="1:36" s="18" customFormat="1" ht="24.75" customHeight="1">
      <c r="A529" s="498"/>
      <c r="B529" s="497"/>
      <c r="C529" s="497"/>
      <c r="D529" s="497"/>
      <c r="E529" s="485"/>
      <c r="F529" s="485"/>
      <c r="G529" s="485"/>
      <c r="H529" s="494"/>
      <c r="I529" s="527"/>
      <c r="J529" s="526"/>
      <c r="K529" s="15"/>
      <c r="L529" s="29"/>
      <c r="M529" s="82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</row>
    <row r="530" spans="1:36" s="18" customFormat="1" ht="24.75" customHeight="1">
      <c r="A530" s="510" t="s">
        <v>11</v>
      </c>
      <c r="B530" s="510"/>
      <c r="C530" s="510"/>
      <c r="D530" s="510"/>
      <c r="E530" s="36">
        <f>SUM(E531:E559)</f>
        <v>18.64</v>
      </c>
      <c r="F530" s="36">
        <f>SUM(F531:F559)</f>
        <v>24.380000000000003</v>
      </c>
      <c r="G530" s="36">
        <f>SUM(G531:G559)</f>
        <v>93.89999999999999</v>
      </c>
      <c r="H530" s="75">
        <f>SUM(H531:H559)</f>
        <v>669.58</v>
      </c>
      <c r="I530" s="192">
        <f>SUM(I531:I559)</f>
        <v>15.24</v>
      </c>
      <c r="J530" s="36"/>
      <c r="K530" s="58"/>
      <c r="L530" s="29"/>
      <c r="M530" s="82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</row>
    <row r="531" spans="1:36" s="18" customFormat="1" ht="24.75" customHeight="1">
      <c r="A531" s="511" t="s">
        <v>394</v>
      </c>
      <c r="B531" s="511"/>
      <c r="C531" s="511"/>
      <c r="D531" s="113" t="s">
        <v>248</v>
      </c>
      <c r="E531" s="36">
        <v>6.7</v>
      </c>
      <c r="F531" s="36">
        <v>7.5</v>
      </c>
      <c r="G531" s="36">
        <v>22.9</v>
      </c>
      <c r="H531" s="75">
        <f>E531*4+F531*9+G531*4</f>
        <v>185.89999999999998</v>
      </c>
      <c r="I531" s="192">
        <v>2.04</v>
      </c>
      <c r="J531" s="263" t="s">
        <v>334</v>
      </c>
      <c r="K531" s="58"/>
      <c r="L531" s="29"/>
      <c r="M531" s="82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</row>
    <row r="532" spans="1:11" ht="24.75" customHeight="1">
      <c r="A532" s="285" t="s">
        <v>479</v>
      </c>
      <c r="B532" s="290">
        <v>71</v>
      </c>
      <c r="C532" s="290">
        <v>70</v>
      </c>
      <c r="D532" s="286"/>
      <c r="E532" s="287"/>
      <c r="F532" s="287"/>
      <c r="G532" s="287"/>
      <c r="H532" s="287"/>
      <c r="I532" s="287"/>
      <c r="J532" s="286"/>
      <c r="K532" s="69"/>
    </row>
    <row r="533" spans="1:36" s="3" customFormat="1" ht="24.75" customHeight="1">
      <c r="A533" s="285" t="s">
        <v>169</v>
      </c>
      <c r="B533" s="290">
        <v>5</v>
      </c>
      <c r="C533" s="290">
        <v>5</v>
      </c>
      <c r="D533" s="286"/>
      <c r="E533" s="287"/>
      <c r="F533" s="287"/>
      <c r="G533" s="287"/>
      <c r="H533" s="287"/>
      <c r="I533" s="288"/>
      <c r="J533" s="288"/>
      <c r="K533" s="15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s="18" customFormat="1" ht="24.75" customHeight="1">
      <c r="A534" s="285" t="s">
        <v>170</v>
      </c>
      <c r="B534" s="290">
        <v>6</v>
      </c>
      <c r="C534" s="290">
        <v>6</v>
      </c>
      <c r="D534" s="286"/>
      <c r="E534" s="287"/>
      <c r="F534" s="287"/>
      <c r="G534" s="287"/>
      <c r="H534" s="286"/>
      <c r="I534" s="288"/>
      <c r="J534" s="288"/>
      <c r="K534" s="14"/>
      <c r="L534" s="29"/>
      <c r="M534" s="82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</row>
    <row r="535" spans="1:36" s="18" customFormat="1" ht="24.75" customHeight="1">
      <c r="A535" s="285" t="s">
        <v>12</v>
      </c>
      <c r="B535" s="290">
        <v>5</v>
      </c>
      <c r="C535" s="290">
        <v>5</v>
      </c>
      <c r="D535" s="286"/>
      <c r="E535" s="287"/>
      <c r="F535" s="287"/>
      <c r="G535" s="287"/>
      <c r="H535" s="290"/>
      <c r="I535" s="288"/>
      <c r="J535" s="288"/>
      <c r="K535" s="14"/>
      <c r="L535" s="29"/>
      <c r="M535" s="82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</row>
    <row r="536" spans="1:36" s="18" customFormat="1" ht="24.75" customHeight="1">
      <c r="A536" s="269" t="s">
        <v>29</v>
      </c>
      <c r="B536" s="283">
        <v>3.3</v>
      </c>
      <c r="C536" s="283">
        <v>3.3</v>
      </c>
      <c r="D536" s="281"/>
      <c r="E536" s="283"/>
      <c r="F536" s="283"/>
      <c r="G536" s="283"/>
      <c r="H536" s="281"/>
      <c r="I536" s="284"/>
      <c r="J536" s="284"/>
      <c r="K536" s="14"/>
      <c r="L536" s="29"/>
      <c r="M536" s="82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</row>
    <row r="537" spans="1:36" s="18" customFormat="1" ht="24.75" customHeight="1">
      <c r="A537" s="276" t="s">
        <v>171</v>
      </c>
      <c r="B537" s="272">
        <f>C537*1.43</f>
        <v>35.75</v>
      </c>
      <c r="C537" s="290">
        <v>25</v>
      </c>
      <c r="D537" s="286"/>
      <c r="E537" s="287"/>
      <c r="F537" s="287"/>
      <c r="G537" s="287"/>
      <c r="H537" s="286"/>
      <c r="I537" s="288"/>
      <c r="J537" s="288"/>
      <c r="K537" s="10"/>
      <c r="L537" s="29"/>
      <c r="M537" s="82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</row>
    <row r="538" spans="1:36" s="18" customFormat="1" ht="24.75" customHeight="1">
      <c r="A538" s="306" t="s">
        <v>172</v>
      </c>
      <c r="B538" s="113"/>
      <c r="C538" s="113">
        <v>20</v>
      </c>
      <c r="D538" s="286"/>
      <c r="E538" s="287"/>
      <c r="F538" s="287"/>
      <c r="G538" s="287"/>
      <c r="H538" s="286"/>
      <c r="I538" s="288"/>
      <c r="J538" s="288"/>
      <c r="K538" s="10"/>
      <c r="L538" s="29"/>
      <c r="M538" s="82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</row>
    <row r="539" spans="1:36" s="18" customFormat="1" ht="24.75" customHeight="1">
      <c r="A539" s="269" t="s">
        <v>173</v>
      </c>
      <c r="B539" s="287">
        <v>1.3</v>
      </c>
      <c r="C539" s="287">
        <v>1.3</v>
      </c>
      <c r="D539" s="286"/>
      <c r="E539" s="287"/>
      <c r="F539" s="287"/>
      <c r="G539" s="287"/>
      <c r="H539" s="286"/>
      <c r="I539" s="288"/>
      <c r="J539" s="288"/>
      <c r="K539" s="14"/>
      <c r="L539" s="29"/>
      <c r="M539" s="82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</row>
    <row r="540" spans="1:36" s="18" customFormat="1" ht="24.75" customHeight="1">
      <c r="A540" s="285" t="s">
        <v>174</v>
      </c>
      <c r="B540" s="287">
        <v>3.3</v>
      </c>
      <c r="C540" s="287">
        <v>3.3</v>
      </c>
      <c r="D540" s="286"/>
      <c r="E540" s="287"/>
      <c r="F540" s="287"/>
      <c r="G540" s="287"/>
      <c r="H540" s="286"/>
      <c r="I540" s="288"/>
      <c r="J540" s="288"/>
      <c r="K540" s="13"/>
      <c r="L540" s="29"/>
      <c r="M540" s="82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</row>
    <row r="541" spans="1:36" s="18" customFormat="1" ht="24.75" customHeight="1">
      <c r="A541" s="269" t="s">
        <v>93</v>
      </c>
      <c r="B541" s="390">
        <v>2</v>
      </c>
      <c r="C541" s="390">
        <v>2</v>
      </c>
      <c r="D541" s="281"/>
      <c r="E541" s="283"/>
      <c r="F541" s="367"/>
      <c r="G541" s="367"/>
      <c r="H541" s="376"/>
      <c r="I541" s="318"/>
      <c r="J541" s="318"/>
      <c r="K541" s="14"/>
      <c r="L541" s="29"/>
      <c r="M541" s="82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</row>
    <row r="542" spans="1:11" ht="24.75" customHeight="1">
      <c r="A542" s="276" t="s">
        <v>393</v>
      </c>
      <c r="B542" s="290">
        <v>30</v>
      </c>
      <c r="C542" s="290">
        <v>30</v>
      </c>
      <c r="D542" s="286"/>
      <c r="E542" s="287"/>
      <c r="F542" s="287"/>
      <c r="G542" s="287"/>
      <c r="H542" s="286"/>
      <c r="I542" s="288"/>
      <c r="J542" s="288"/>
      <c r="K542" s="45"/>
    </row>
    <row r="543" spans="1:11" ht="24.75" customHeight="1">
      <c r="A543" s="501" t="s">
        <v>151</v>
      </c>
      <c r="B543" s="501"/>
      <c r="C543" s="501"/>
      <c r="D543" s="113">
        <v>200</v>
      </c>
      <c r="E543" s="201">
        <v>3.9</v>
      </c>
      <c r="F543" s="201">
        <v>2.5</v>
      </c>
      <c r="G543" s="201">
        <v>18</v>
      </c>
      <c r="H543" s="202">
        <f>E543*4+F543*9+G543*4</f>
        <v>110.1</v>
      </c>
      <c r="I543" s="263">
        <v>0.5</v>
      </c>
      <c r="J543" s="192" t="s">
        <v>353</v>
      </c>
      <c r="K543" s="10"/>
    </row>
    <row r="544" spans="1:36" s="18" customFormat="1" ht="24.75" customHeight="1">
      <c r="A544" s="285" t="s">
        <v>176</v>
      </c>
      <c r="B544" s="286">
        <v>2</v>
      </c>
      <c r="C544" s="286">
        <v>2</v>
      </c>
      <c r="D544" s="286"/>
      <c r="E544" s="287"/>
      <c r="F544" s="287"/>
      <c r="G544" s="287"/>
      <c r="H544" s="286"/>
      <c r="I544" s="288"/>
      <c r="J544" s="288"/>
      <c r="K544" s="41"/>
      <c r="L544" s="29"/>
      <c r="M544" s="82"/>
      <c r="N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</row>
    <row r="545" spans="1:36" s="18" customFormat="1" ht="24.75" customHeight="1">
      <c r="A545" s="269" t="s">
        <v>12</v>
      </c>
      <c r="B545" s="270">
        <v>15</v>
      </c>
      <c r="C545" s="270">
        <v>15</v>
      </c>
      <c r="D545" s="270"/>
      <c r="E545" s="271"/>
      <c r="F545" s="271"/>
      <c r="G545" s="271"/>
      <c r="H545" s="272"/>
      <c r="I545" s="273"/>
      <c r="J545" s="273"/>
      <c r="K545" s="41"/>
      <c r="L545" s="29"/>
      <c r="M545" s="82"/>
      <c r="N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</row>
    <row r="546" spans="1:36" s="18" customFormat="1" ht="24.75" customHeight="1">
      <c r="A546" s="280" t="s">
        <v>148</v>
      </c>
      <c r="B546" s="281">
        <v>100</v>
      </c>
      <c r="C546" s="281">
        <v>100</v>
      </c>
      <c r="D546" s="281"/>
      <c r="E546" s="283"/>
      <c r="F546" s="283"/>
      <c r="G546" s="283"/>
      <c r="H546" s="281"/>
      <c r="I546" s="284"/>
      <c r="J546" s="284"/>
      <c r="K546" s="41"/>
      <c r="L546" s="29"/>
      <c r="M546" s="82"/>
      <c r="N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</row>
    <row r="547" spans="1:15" s="108" customFormat="1" ht="24.75" customHeight="1">
      <c r="A547" s="496" t="s">
        <v>325</v>
      </c>
      <c r="B547" s="496"/>
      <c r="C547" s="496"/>
      <c r="D547" s="374">
        <v>250</v>
      </c>
      <c r="E547" s="201">
        <v>4.4</v>
      </c>
      <c r="F547" s="201">
        <v>5.4</v>
      </c>
      <c r="G547" s="201">
        <v>17.5</v>
      </c>
      <c r="H547" s="202">
        <f>G547*4+F547*9+E547*4</f>
        <v>136.2</v>
      </c>
      <c r="I547" s="263">
        <v>0.7</v>
      </c>
      <c r="J547" s="263" t="s">
        <v>326</v>
      </c>
      <c r="K547" s="154"/>
      <c r="O547" s="18"/>
    </row>
    <row r="548" spans="1:14" s="18" customFormat="1" ht="24.75" customHeight="1">
      <c r="A548" s="264" t="s">
        <v>148</v>
      </c>
      <c r="B548" s="402">
        <v>125</v>
      </c>
      <c r="C548" s="402">
        <v>125</v>
      </c>
      <c r="D548" s="227"/>
      <c r="E548" s="201"/>
      <c r="F548" s="201"/>
      <c r="G548" s="201"/>
      <c r="H548" s="227"/>
      <c r="I548" s="263"/>
      <c r="J548" s="227"/>
      <c r="K548" s="41"/>
      <c r="L548" s="29"/>
      <c r="M548" s="82"/>
      <c r="N548" s="24"/>
    </row>
    <row r="549" spans="1:36" s="18" customFormat="1" ht="24.75" customHeight="1">
      <c r="A549" s="264" t="s">
        <v>108</v>
      </c>
      <c r="B549" s="402">
        <v>138</v>
      </c>
      <c r="C549" s="402">
        <v>138</v>
      </c>
      <c r="D549" s="227"/>
      <c r="E549" s="201"/>
      <c r="F549" s="201"/>
      <c r="G549" s="201"/>
      <c r="H549" s="227"/>
      <c r="I549" s="267"/>
      <c r="J549" s="267"/>
      <c r="K549" s="41"/>
      <c r="L549" s="29"/>
      <c r="M549" s="82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</row>
    <row r="550" spans="1:36" s="18" customFormat="1" ht="24.75" customHeight="1">
      <c r="A550" s="415" t="s">
        <v>327</v>
      </c>
      <c r="B550" s="343">
        <v>15</v>
      </c>
      <c r="C550" s="343">
        <v>15</v>
      </c>
      <c r="D550" s="343"/>
      <c r="E550" s="342"/>
      <c r="F550" s="342"/>
      <c r="G550" s="342"/>
      <c r="H550" s="343"/>
      <c r="I550" s="273"/>
      <c r="J550" s="273"/>
      <c r="K550" s="10"/>
      <c r="L550" s="29"/>
      <c r="M550" s="82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</row>
    <row r="551" spans="1:36" s="18" customFormat="1" ht="24.75" customHeight="1">
      <c r="A551" s="415" t="s">
        <v>328</v>
      </c>
      <c r="B551" s="343">
        <v>20</v>
      </c>
      <c r="C551" s="343">
        <v>20</v>
      </c>
      <c r="D551" s="343"/>
      <c r="E551" s="342"/>
      <c r="F551" s="342"/>
      <c r="G551" s="342"/>
      <c r="H551" s="343"/>
      <c r="I551" s="273"/>
      <c r="J551" s="273"/>
      <c r="K551" s="14"/>
      <c r="L551" s="29"/>
      <c r="M551" s="82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</row>
    <row r="552" spans="1:36" s="18" customFormat="1" ht="24.75" customHeight="1">
      <c r="A552" s="339" t="s">
        <v>27</v>
      </c>
      <c r="B552" s="340">
        <v>2</v>
      </c>
      <c r="C552" s="340">
        <v>2</v>
      </c>
      <c r="D552" s="227"/>
      <c r="E552" s="336"/>
      <c r="F552" s="342"/>
      <c r="G552" s="342"/>
      <c r="H552" s="343"/>
      <c r="I552" s="273"/>
      <c r="J552" s="273"/>
      <c r="K552" s="14"/>
      <c r="L552" s="29"/>
      <c r="M552" s="82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</row>
    <row r="553" spans="1:36" s="18" customFormat="1" ht="24.75" customHeight="1">
      <c r="A553" s="264" t="s">
        <v>12</v>
      </c>
      <c r="B553" s="167">
        <v>3</v>
      </c>
      <c r="C553" s="167">
        <v>3</v>
      </c>
      <c r="D553" s="227"/>
      <c r="E553" s="201"/>
      <c r="F553" s="266"/>
      <c r="G553" s="266"/>
      <c r="H553" s="265"/>
      <c r="I553" s="273"/>
      <c r="J553" s="273"/>
      <c r="K553" s="14"/>
      <c r="L553" s="29"/>
      <c r="M553" s="82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</row>
    <row r="554" spans="1:36" s="18" customFormat="1" ht="24.75" customHeight="1">
      <c r="A554" s="344" t="s">
        <v>345</v>
      </c>
      <c r="B554" s="113"/>
      <c r="C554" s="113"/>
      <c r="D554" s="275" t="s">
        <v>488</v>
      </c>
      <c r="E554" s="201">
        <v>1.6</v>
      </c>
      <c r="F554" s="201">
        <v>8.7</v>
      </c>
      <c r="G554" s="201">
        <v>9.9</v>
      </c>
      <c r="H554" s="202">
        <f>E554*4+F554*9+G554*4</f>
        <v>124.30000000000001</v>
      </c>
      <c r="I554" s="263">
        <v>0</v>
      </c>
      <c r="J554" s="227" t="s">
        <v>347</v>
      </c>
      <c r="K554" s="14"/>
      <c r="L554" s="29"/>
      <c r="M554" s="82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</row>
    <row r="555" spans="1:36" s="18" customFormat="1" ht="24.75" customHeight="1">
      <c r="A555" s="276" t="s">
        <v>348</v>
      </c>
      <c r="B555" s="270">
        <v>20</v>
      </c>
      <c r="C555" s="270">
        <v>20</v>
      </c>
      <c r="D555" s="270"/>
      <c r="E555" s="271"/>
      <c r="F555" s="271"/>
      <c r="G555" s="271"/>
      <c r="H555" s="271"/>
      <c r="I555" s="309"/>
      <c r="J555" s="345"/>
      <c r="K555" s="14"/>
      <c r="L555" s="29"/>
      <c r="M555" s="82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</row>
    <row r="556" spans="1:36" s="18" customFormat="1" ht="24.75" customHeight="1">
      <c r="A556" s="276" t="s">
        <v>346</v>
      </c>
      <c r="B556" s="270">
        <v>10</v>
      </c>
      <c r="C556" s="270">
        <v>10</v>
      </c>
      <c r="D556" s="270"/>
      <c r="E556" s="271"/>
      <c r="F556" s="271"/>
      <c r="G556" s="271"/>
      <c r="H556" s="271"/>
      <c r="I556" s="273"/>
      <c r="J556" s="271"/>
      <c r="K556" s="14"/>
      <c r="L556" s="29"/>
      <c r="M556" s="82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</row>
    <row r="557" spans="1:36" s="18" customFormat="1" ht="24.75" customHeight="1">
      <c r="A557" s="501" t="s">
        <v>267</v>
      </c>
      <c r="B557" s="501"/>
      <c r="C557" s="501"/>
      <c r="D557" s="113">
        <v>20</v>
      </c>
      <c r="E557" s="36">
        <v>1.64</v>
      </c>
      <c r="F557" s="36">
        <v>0.28</v>
      </c>
      <c r="G557" s="36">
        <v>7.6</v>
      </c>
      <c r="H557" s="75">
        <v>39.48</v>
      </c>
      <c r="I557" s="192">
        <v>0</v>
      </c>
      <c r="J557" s="192"/>
      <c r="K557" s="14"/>
      <c r="L557" s="29"/>
      <c r="M557" s="82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</row>
    <row r="558" spans="1:36" s="18" customFormat="1" ht="24.75" customHeight="1">
      <c r="A558" s="510" t="s">
        <v>150</v>
      </c>
      <c r="B558" s="510"/>
      <c r="C558" s="510"/>
      <c r="D558" s="510"/>
      <c r="E558" s="510"/>
      <c r="F558" s="510"/>
      <c r="G558" s="510"/>
      <c r="H558" s="510"/>
      <c r="I558" s="510"/>
      <c r="J558" s="510"/>
      <c r="K558" s="14"/>
      <c r="L558" s="29"/>
      <c r="M558" s="82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</row>
    <row r="559" spans="1:36" s="18" customFormat="1" ht="39" customHeight="1">
      <c r="A559" s="492" t="s">
        <v>337</v>
      </c>
      <c r="B559" s="492"/>
      <c r="C559" s="492"/>
      <c r="D559" s="282">
        <v>180</v>
      </c>
      <c r="E559" s="201">
        <v>0.4</v>
      </c>
      <c r="F559" s="279">
        <v>0</v>
      </c>
      <c r="G559" s="201">
        <v>18</v>
      </c>
      <c r="H559" s="202">
        <f>E559*4+F559*9+G559*4</f>
        <v>73.6</v>
      </c>
      <c r="I559" s="263">
        <v>12</v>
      </c>
      <c r="J559" s="263"/>
      <c r="K559" s="14"/>
      <c r="L559" s="29"/>
      <c r="M559" s="82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</row>
    <row r="560" spans="1:36" s="18" customFormat="1" ht="24.75" customHeight="1">
      <c r="A560" s="510" t="s">
        <v>18</v>
      </c>
      <c r="B560" s="510"/>
      <c r="C560" s="510"/>
      <c r="D560" s="510"/>
      <c r="E560" s="36">
        <f>E561+E566+E582+E593+E605+E606+E607</f>
        <v>29.960000000000004</v>
      </c>
      <c r="F560" s="36">
        <f>F561+F566+F582+F593+F605+F606+F607</f>
        <v>34.02</v>
      </c>
      <c r="G560" s="36">
        <f>G561+G566+G582+G593+G605+G606+G607</f>
        <v>120.68</v>
      </c>
      <c r="H560" s="75">
        <f>H561+H566+H582+H593+H605+H606+H607</f>
        <v>908.1800000000001</v>
      </c>
      <c r="I560" s="192">
        <f>I561+I566+I582+I593+I605+I606+I607</f>
        <v>105.39999999999999</v>
      </c>
      <c r="J560" s="36"/>
      <c r="K560" s="14"/>
      <c r="L560" s="29"/>
      <c r="M560" s="82"/>
      <c r="N560" s="24"/>
      <c r="O560" s="7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</row>
    <row r="561" spans="1:15" s="18" customFormat="1" ht="48" customHeight="1">
      <c r="A561" s="511" t="s">
        <v>494</v>
      </c>
      <c r="B561" s="511"/>
      <c r="C561" s="511"/>
      <c r="D561" s="113">
        <v>80</v>
      </c>
      <c r="E561" s="36">
        <v>0.8</v>
      </c>
      <c r="F561" s="36">
        <v>5.1</v>
      </c>
      <c r="G561" s="36">
        <v>2.8</v>
      </c>
      <c r="H561" s="75">
        <f>E561*4+F561*9+G561*4</f>
        <v>60.3</v>
      </c>
      <c r="I561" s="192">
        <v>69</v>
      </c>
      <c r="J561" s="395" t="s">
        <v>417</v>
      </c>
      <c r="K561" s="14"/>
      <c r="L561" s="29"/>
      <c r="M561" s="82"/>
      <c r="N561" s="24"/>
      <c r="O561" s="24"/>
    </row>
    <row r="562" spans="1:36" s="18" customFormat="1" ht="24.75" customHeight="1">
      <c r="A562" s="269" t="s">
        <v>166</v>
      </c>
      <c r="B562" s="272">
        <f>C562*1.33</f>
        <v>42.56</v>
      </c>
      <c r="C562" s="270">
        <v>32</v>
      </c>
      <c r="D562" s="113"/>
      <c r="E562" s="36"/>
      <c r="F562" s="36"/>
      <c r="G562" s="36"/>
      <c r="H562" s="75"/>
      <c r="I562" s="192"/>
      <c r="J562" s="192"/>
      <c r="K562" s="14"/>
      <c r="L562" s="29"/>
      <c r="M562" s="82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</row>
    <row r="563" spans="1:36" s="3" customFormat="1" ht="24.75" customHeight="1">
      <c r="A563" s="285" t="s">
        <v>158</v>
      </c>
      <c r="B563" s="290">
        <f>C563*1.02</f>
        <v>45.9</v>
      </c>
      <c r="C563" s="270">
        <v>45</v>
      </c>
      <c r="D563" s="201"/>
      <c r="E563" s="201"/>
      <c r="F563" s="201"/>
      <c r="G563" s="201"/>
      <c r="H563" s="263"/>
      <c r="I563" s="263"/>
      <c r="J563" s="192"/>
      <c r="K563" s="14"/>
      <c r="O563" s="24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11" ht="24.75" customHeight="1">
      <c r="A564" s="285" t="s">
        <v>213</v>
      </c>
      <c r="B564" s="290">
        <f>C564*1.05</f>
        <v>47.25</v>
      </c>
      <c r="C564" s="270">
        <v>45</v>
      </c>
      <c r="D564" s="113"/>
      <c r="E564" s="36"/>
      <c r="F564" s="36"/>
      <c r="G564" s="36"/>
      <c r="H564" s="36"/>
      <c r="I564" s="192"/>
      <c r="J564" s="192"/>
      <c r="K564" s="14"/>
    </row>
    <row r="565" spans="1:11" ht="24.75" customHeight="1">
      <c r="A565" s="285" t="s">
        <v>20</v>
      </c>
      <c r="B565" s="290">
        <v>5</v>
      </c>
      <c r="C565" s="270">
        <v>5</v>
      </c>
      <c r="D565" s="113"/>
      <c r="E565" s="36"/>
      <c r="F565" s="36"/>
      <c r="G565" s="36"/>
      <c r="H565" s="36"/>
      <c r="I565" s="192"/>
      <c r="J565" s="192"/>
      <c r="K565" s="14"/>
    </row>
    <row r="566" spans="1:11" ht="35.25" customHeight="1">
      <c r="A566" s="511" t="s">
        <v>462</v>
      </c>
      <c r="B566" s="511"/>
      <c r="C566" s="511"/>
      <c r="D566" s="233" t="s">
        <v>492</v>
      </c>
      <c r="E566" s="201">
        <v>6.1</v>
      </c>
      <c r="F566" s="334">
        <v>10.4</v>
      </c>
      <c r="G566" s="201">
        <v>17.3</v>
      </c>
      <c r="H566" s="202">
        <f>E566*4+F566*9+G566*4</f>
        <v>187.2</v>
      </c>
      <c r="I566" s="263">
        <v>7.3</v>
      </c>
      <c r="J566" s="263" t="s">
        <v>366</v>
      </c>
      <c r="K566" s="1"/>
    </row>
    <row r="567" spans="1:36" s="18" customFormat="1" ht="24.75" customHeight="1">
      <c r="A567" s="302" t="s">
        <v>67</v>
      </c>
      <c r="B567" s="301">
        <f>C567*1.18</f>
        <v>18.88</v>
      </c>
      <c r="C567" s="286">
        <v>16</v>
      </c>
      <c r="D567" s="113"/>
      <c r="E567" s="36"/>
      <c r="F567" s="36"/>
      <c r="G567" s="36"/>
      <c r="H567" s="36"/>
      <c r="I567" s="36"/>
      <c r="J567" s="192"/>
      <c r="K567" s="1"/>
      <c r="L567" s="29"/>
      <c r="M567" s="82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</row>
    <row r="568" spans="1:11" ht="24.75" customHeight="1">
      <c r="A568" s="299" t="s">
        <v>71</v>
      </c>
      <c r="B568" s="301">
        <f>C568*1.36</f>
        <v>21.76</v>
      </c>
      <c r="C568" s="286">
        <v>16</v>
      </c>
      <c r="D568" s="113"/>
      <c r="E568" s="36"/>
      <c r="F568" s="36"/>
      <c r="G568" s="36"/>
      <c r="H568" s="75"/>
      <c r="I568" s="192"/>
      <c r="J568" s="192"/>
      <c r="K568" s="1"/>
    </row>
    <row r="569" spans="1:36" s="18" customFormat="1" ht="24.75" customHeight="1">
      <c r="A569" s="302" t="s">
        <v>296</v>
      </c>
      <c r="B569" s="300">
        <v>22</v>
      </c>
      <c r="C569" s="270">
        <v>20</v>
      </c>
      <c r="D569" s="113"/>
      <c r="E569" s="36"/>
      <c r="F569" s="36"/>
      <c r="G569" s="36"/>
      <c r="H569" s="75"/>
      <c r="I569" s="192"/>
      <c r="J569" s="192"/>
      <c r="K569" s="1"/>
      <c r="L569" s="29"/>
      <c r="M569" s="82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</row>
    <row r="570" spans="1:36" s="18" customFormat="1" ht="24.75" customHeight="1">
      <c r="A570" s="302" t="s">
        <v>463</v>
      </c>
      <c r="B570" s="300">
        <v>21</v>
      </c>
      <c r="C570" s="270">
        <v>20</v>
      </c>
      <c r="D570" s="113"/>
      <c r="E570" s="36"/>
      <c r="F570" s="36"/>
      <c r="G570" s="36"/>
      <c r="H570" s="75"/>
      <c r="I570" s="192"/>
      <c r="J570" s="192"/>
      <c r="K570" s="1"/>
      <c r="L570" s="29"/>
      <c r="M570" s="82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</row>
    <row r="571" spans="1:11" ht="46.5" customHeight="1">
      <c r="A571" s="298" t="s">
        <v>21</v>
      </c>
      <c r="B571" s="290">
        <f>C571*1.33</f>
        <v>66.5</v>
      </c>
      <c r="C571" s="290">
        <v>50</v>
      </c>
      <c r="D571" s="281"/>
      <c r="E571" s="283"/>
      <c r="F571" s="283"/>
      <c r="G571" s="283"/>
      <c r="H571" s="281"/>
      <c r="I571" s="284"/>
      <c r="J571" s="284"/>
      <c r="K571" s="1"/>
    </row>
    <row r="572" spans="1:36" s="18" customFormat="1" ht="24.75" customHeight="1">
      <c r="A572" s="285" t="s">
        <v>22</v>
      </c>
      <c r="B572" s="290">
        <f>C572*1.43</f>
        <v>71.5</v>
      </c>
      <c r="C572" s="290">
        <v>50</v>
      </c>
      <c r="D572" s="290"/>
      <c r="E572" s="287"/>
      <c r="F572" s="287"/>
      <c r="G572" s="287"/>
      <c r="H572" s="290"/>
      <c r="I572" s="288"/>
      <c r="J572" s="288"/>
      <c r="K572" s="1"/>
      <c r="L572" s="29"/>
      <c r="M572" s="82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</row>
    <row r="573" spans="1:11" ht="24.75" customHeight="1">
      <c r="A573" s="285" t="s">
        <v>23</v>
      </c>
      <c r="B573" s="290">
        <f>C573*1.54</f>
        <v>77</v>
      </c>
      <c r="C573" s="290">
        <v>50</v>
      </c>
      <c r="D573" s="290"/>
      <c r="E573" s="287"/>
      <c r="F573" s="287"/>
      <c r="G573" s="287"/>
      <c r="H573" s="290"/>
      <c r="I573" s="288"/>
      <c r="J573" s="288"/>
      <c r="K573" s="1"/>
    </row>
    <row r="574" spans="1:36" s="18" customFormat="1" ht="24.75" customHeight="1">
      <c r="A574" s="285" t="s">
        <v>24</v>
      </c>
      <c r="B574" s="290">
        <f>C574*1.67</f>
        <v>83.5</v>
      </c>
      <c r="C574" s="290">
        <v>50</v>
      </c>
      <c r="D574" s="290"/>
      <c r="E574" s="287"/>
      <c r="F574" s="287"/>
      <c r="G574" s="287"/>
      <c r="H574" s="290"/>
      <c r="I574" s="288"/>
      <c r="J574" s="288"/>
      <c r="K574" s="14"/>
      <c r="L574" s="29"/>
      <c r="M574" s="82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</row>
    <row r="575" spans="1:36" s="18" customFormat="1" ht="39.75" customHeight="1" thickBot="1">
      <c r="A575" s="298" t="s">
        <v>294</v>
      </c>
      <c r="B575" s="290">
        <v>6</v>
      </c>
      <c r="C575" s="290">
        <v>6</v>
      </c>
      <c r="D575" s="290"/>
      <c r="E575" s="287"/>
      <c r="F575" s="287"/>
      <c r="G575" s="287"/>
      <c r="H575" s="290"/>
      <c r="I575" s="364"/>
      <c r="J575" s="364"/>
      <c r="K575" s="10"/>
      <c r="L575" s="115" t="s">
        <v>44</v>
      </c>
      <c r="M575" s="78"/>
      <c r="N575" s="8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</row>
    <row r="576" spans="1:36" s="18" customFormat="1" ht="14.25" customHeight="1">
      <c r="A576" s="285" t="s">
        <v>26</v>
      </c>
      <c r="B576" s="290">
        <f>C576*1.19</f>
        <v>29.75</v>
      </c>
      <c r="C576" s="290">
        <v>25</v>
      </c>
      <c r="D576" s="290"/>
      <c r="E576" s="287"/>
      <c r="F576" s="287"/>
      <c r="G576" s="287"/>
      <c r="H576" s="290"/>
      <c r="I576" s="288"/>
      <c r="J576" s="288"/>
      <c r="K576" s="10"/>
      <c r="L576" s="42" t="s">
        <v>70</v>
      </c>
      <c r="M576" s="78">
        <f>D710+D742</f>
        <v>120</v>
      </c>
      <c r="N576" s="8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</row>
    <row r="577" spans="1:36" s="18" customFormat="1" ht="18" customHeight="1">
      <c r="A577" s="269" t="s">
        <v>202</v>
      </c>
      <c r="B577" s="272">
        <f>C577*1.82</f>
        <v>38.22</v>
      </c>
      <c r="C577" s="290">
        <v>21</v>
      </c>
      <c r="D577" s="290"/>
      <c r="E577" s="287"/>
      <c r="F577" s="287"/>
      <c r="G577" s="287"/>
      <c r="H577" s="290"/>
      <c r="I577" s="288"/>
      <c r="J577" s="288"/>
      <c r="K577" s="14"/>
      <c r="L577" s="25" t="s">
        <v>80</v>
      </c>
      <c r="M577" s="78">
        <f>B670+D709+D743+D712</f>
        <v>210</v>
      </c>
      <c r="N577" s="84">
        <f>D670+D709+D743</f>
        <v>90</v>
      </c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</row>
    <row r="578" spans="1:36" s="18" customFormat="1" ht="14.25" customHeight="1">
      <c r="A578" s="285" t="s">
        <v>27</v>
      </c>
      <c r="B578" s="286">
        <v>8</v>
      </c>
      <c r="C578" s="286">
        <v>8</v>
      </c>
      <c r="D578" s="290"/>
      <c r="E578" s="287"/>
      <c r="F578" s="287"/>
      <c r="G578" s="287"/>
      <c r="H578" s="290"/>
      <c r="I578" s="288"/>
      <c r="J578" s="288"/>
      <c r="K578" s="14"/>
      <c r="L578" s="25" t="s">
        <v>81</v>
      </c>
      <c r="M578" s="78"/>
      <c r="N578" s="8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</row>
    <row r="579" spans="1:36" s="18" customFormat="1" ht="18" customHeight="1">
      <c r="A579" s="269" t="s">
        <v>93</v>
      </c>
      <c r="B579" s="286">
        <v>5</v>
      </c>
      <c r="C579" s="286">
        <v>5</v>
      </c>
      <c r="D579" s="290"/>
      <c r="E579" s="287"/>
      <c r="F579" s="287"/>
      <c r="G579" s="287"/>
      <c r="H579" s="290"/>
      <c r="I579" s="288"/>
      <c r="J579" s="288"/>
      <c r="K579" s="14"/>
      <c r="L579" s="26" t="s">
        <v>123</v>
      </c>
      <c r="M579" s="78">
        <f>+B701+C662</f>
        <v>98</v>
      </c>
      <c r="N579" s="8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</row>
    <row r="580" spans="1:36" s="18" customFormat="1" ht="14.25" customHeight="1">
      <c r="A580" s="285" t="s">
        <v>17</v>
      </c>
      <c r="B580" s="286">
        <v>7</v>
      </c>
      <c r="C580" s="286">
        <v>6</v>
      </c>
      <c r="D580" s="290"/>
      <c r="E580" s="287"/>
      <c r="F580" s="287"/>
      <c r="G580" s="287"/>
      <c r="H580" s="290"/>
      <c r="I580" s="364"/>
      <c r="J580" s="364"/>
      <c r="K580" s="15"/>
      <c r="L580" s="26"/>
      <c r="M580" s="78"/>
      <c r="N580" s="8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</row>
    <row r="581" spans="1:36" s="18" customFormat="1" ht="18" customHeight="1">
      <c r="A581" s="285" t="s">
        <v>68</v>
      </c>
      <c r="B581" s="290">
        <v>2</v>
      </c>
      <c r="C581" s="286">
        <v>1</v>
      </c>
      <c r="D581" s="290"/>
      <c r="E581" s="287"/>
      <c r="F581" s="287"/>
      <c r="G581" s="287"/>
      <c r="H581" s="290"/>
      <c r="I581" s="288"/>
      <c r="J581" s="288"/>
      <c r="K581" s="10"/>
      <c r="L581" s="25" t="s">
        <v>137</v>
      </c>
      <c r="M581" s="78">
        <f>B687+B733</f>
        <v>346.8230769230769</v>
      </c>
      <c r="N581" s="8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</row>
    <row r="582" spans="1:36" s="18" customFormat="1" ht="24.75" customHeight="1">
      <c r="A582" s="506" t="s">
        <v>528</v>
      </c>
      <c r="B582" s="506"/>
      <c r="C582" s="506"/>
      <c r="D582" s="227">
        <v>130</v>
      </c>
      <c r="E582" s="201">
        <v>9.3</v>
      </c>
      <c r="F582" s="201">
        <v>9.8</v>
      </c>
      <c r="G582" s="201">
        <v>11.6</v>
      </c>
      <c r="H582" s="202">
        <f>E582*4+F582*9+G582*4</f>
        <v>171.8</v>
      </c>
      <c r="I582" s="263">
        <v>1.3</v>
      </c>
      <c r="J582" s="227" t="s">
        <v>334</v>
      </c>
      <c r="K582" s="10"/>
      <c r="L582" s="25" t="s">
        <v>82</v>
      </c>
      <c r="M582" s="78">
        <f>+B691+B693+B702+B704+B680+B682+B717+B719++B694+B728</f>
        <v>312.76</v>
      </c>
      <c r="N582" s="8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</row>
    <row r="583" spans="1:36" s="18" customFormat="1" ht="34.5" customHeight="1">
      <c r="A583" s="324" t="s">
        <v>419</v>
      </c>
      <c r="B583" s="371">
        <v>221</v>
      </c>
      <c r="C583" s="270">
        <v>102</v>
      </c>
      <c r="D583" s="270"/>
      <c r="E583" s="271"/>
      <c r="F583" s="271"/>
      <c r="G583" s="271"/>
      <c r="H583" s="270"/>
      <c r="I583" s="273"/>
      <c r="J583" s="270"/>
      <c r="K583" s="10"/>
      <c r="L583" s="25" t="s">
        <v>83</v>
      </c>
      <c r="M583" s="78">
        <f>B706+D677</f>
        <v>225.6</v>
      </c>
      <c r="N583" s="8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</row>
    <row r="584" spans="1:36" s="18" customFormat="1" ht="24.75" customHeight="1">
      <c r="A584" s="324" t="s">
        <v>420</v>
      </c>
      <c r="B584" s="300">
        <f>C584*1.34</f>
        <v>136.68</v>
      </c>
      <c r="C584" s="270">
        <v>102</v>
      </c>
      <c r="D584" s="270"/>
      <c r="E584" s="271"/>
      <c r="F584" s="266"/>
      <c r="G584" s="266"/>
      <c r="H584" s="167"/>
      <c r="I584" s="249"/>
      <c r="J584" s="312"/>
      <c r="K584" s="10"/>
      <c r="L584" s="25" t="s">
        <v>124</v>
      </c>
      <c r="M584" s="78">
        <f>D714</f>
        <v>200</v>
      </c>
      <c r="N584" s="8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</row>
    <row r="585" spans="1:36" s="18" customFormat="1" ht="33" customHeight="1">
      <c r="A585" s="324" t="s">
        <v>233</v>
      </c>
      <c r="B585" s="371">
        <v>85</v>
      </c>
      <c r="C585" s="270">
        <v>102</v>
      </c>
      <c r="D585" s="270"/>
      <c r="E585" s="271"/>
      <c r="F585" s="271"/>
      <c r="G585" s="271"/>
      <c r="H585" s="272"/>
      <c r="I585" s="309"/>
      <c r="J585" s="310"/>
      <c r="K585" s="10"/>
      <c r="L585" s="25" t="s">
        <v>84</v>
      </c>
      <c r="M585" s="78">
        <f>B667</f>
        <v>21</v>
      </c>
      <c r="N585" s="84">
        <f>B665</f>
        <v>5</v>
      </c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</row>
    <row r="586" spans="1:36" s="18" customFormat="1" ht="34.5" customHeight="1">
      <c r="A586" s="324" t="s">
        <v>529</v>
      </c>
      <c r="B586" s="371">
        <v>85</v>
      </c>
      <c r="C586" s="270">
        <v>102</v>
      </c>
      <c r="D586" s="270"/>
      <c r="E586" s="271"/>
      <c r="F586" s="271"/>
      <c r="G586" s="271"/>
      <c r="H586" s="272"/>
      <c r="I586" s="309"/>
      <c r="J586" s="310"/>
      <c r="K586" s="10"/>
      <c r="L586" s="25" t="s">
        <v>85</v>
      </c>
      <c r="M586" s="78">
        <f>+B665++B708</f>
        <v>20</v>
      </c>
      <c r="N586" s="8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</row>
    <row r="587" spans="1:14" ht="24.75" customHeight="1">
      <c r="A587" s="269" t="s">
        <v>36</v>
      </c>
      <c r="B587" s="270">
        <v>7</v>
      </c>
      <c r="C587" s="270">
        <v>7</v>
      </c>
      <c r="D587" s="270"/>
      <c r="E587" s="271"/>
      <c r="F587" s="271"/>
      <c r="G587" s="271"/>
      <c r="H587" s="272"/>
      <c r="I587" s="309"/>
      <c r="J587" s="310"/>
      <c r="K587" s="10"/>
      <c r="L587" s="151" t="s">
        <v>197</v>
      </c>
      <c r="M587" s="3">
        <f>B675</f>
        <v>20</v>
      </c>
      <c r="N587" s="84"/>
    </row>
    <row r="588" spans="1:36" s="18" customFormat="1" ht="24.75" customHeight="1">
      <c r="A588" s="269" t="s">
        <v>26</v>
      </c>
      <c r="B588" s="167">
        <f>C588*1.19</f>
        <v>13.09</v>
      </c>
      <c r="C588" s="270">
        <v>11</v>
      </c>
      <c r="D588" s="270"/>
      <c r="E588" s="271"/>
      <c r="F588" s="271"/>
      <c r="G588" s="271"/>
      <c r="H588" s="272"/>
      <c r="I588" s="309"/>
      <c r="J588" s="310"/>
      <c r="K588" s="10"/>
      <c r="L588" s="25" t="s">
        <v>125</v>
      </c>
      <c r="M588" s="78"/>
      <c r="N588" s="8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</row>
    <row r="589" spans="1:14" ht="24.75" customHeight="1">
      <c r="A589" s="269" t="s">
        <v>29</v>
      </c>
      <c r="B589" s="167">
        <v>5</v>
      </c>
      <c r="C589" s="270">
        <v>5</v>
      </c>
      <c r="D589" s="270"/>
      <c r="E589" s="271"/>
      <c r="F589" s="271"/>
      <c r="G589" s="271"/>
      <c r="H589" s="272"/>
      <c r="I589" s="309"/>
      <c r="J589" s="310"/>
      <c r="K589" s="14"/>
      <c r="L589" s="25" t="s">
        <v>86</v>
      </c>
      <c r="M589" s="78">
        <f>B674+B741</f>
        <v>15.4</v>
      </c>
      <c r="N589" s="84"/>
    </row>
    <row r="590" spans="1:14" ht="24.75" customHeight="1">
      <c r="A590" s="276" t="s">
        <v>196</v>
      </c>
      <c r="B590" s="270">
        <v>30</v>
      </c>
      <c r="C590" s="270">
        <v>30</v>
      </c>
      <c r="D590" s="270"/>
      <c r="E590" s="271"/>
      <c r="F590" s="271"/>
      <c r="G590" s="271"/>
      <c r="H590" s="272"/>
      <c r="I590" s="309"/>
      <c r="J590" s="310"/>
      <c r="K590" s="14"/>
      <c r="L590" s="25" t="s">
        <v>136</v>
      </c>
      <c r="M590" s="78">
        <f>B698</f>
        <v>106.65</v>
      </c>
      <c r="N590" s="84"/>
    </row>
    <row r="591" spans="1:14" ht="24.75" customHeight="1">
      <c r="A591" s="269" t="s">
        <v>401</v>
      </c>
      <c r="B591" s="270">
        <v>7</v>
      </c>
      <c r="C591" s="270">
        <v>7</v>
      </c>
      <c r="D591" s="270"/>
      <c r="E591" s="271"/>
      <c r="F591" s="271"/>
      <c r="G591" s="271"/>
      <c r="H591" s="272"/>
      <c r="I591" s="309"/>
      <c r="J591" s="310"/>
      <c r="K591" s="14"/>
      <c r="L591" s="195" t="s">
        <v>199</v>
      </c>
      <c r="M591" s="62">
        <f>B725</f>
        <v>188.666</v>
      </c>
      <c r="N591" s="84"/>
    </row>
    <row r="592" spans="1:14" ht="24.75" customHeight="1">
      <c r="A592" s="269" t="s">
        <v>20</v>
      </c>
      <c r="B592" s="270">
        <v>3</v>
      </c>
      <c r="C592" s="270">
        <v>3</v>
      </c>
      <c r="D592" s="270"/>
      <c r="E592" s="271"/>
      <c r="F592" s="271"/>
      <c r="G592" s="271"/>
      <c r="H592" s="272"/>
      <c r="I592" s="309"/>
      <c r="J592" s="310"/>
      <c r="K592" s="14"/>
      <c r="L592" s="25" t="s">
        <v>87</v>
      </c>
      <c r="M592" s="78"/>
      <c r="N592" s="84"/>
    </row>
    <row r="593" spans="1:14" ht="24.75" customHeight="1">
      <c r="A593" s="501" t="s">
        <v>422</v>
      </c>
      <c r="B593" s="501"/>
      <c r="C593" s="501"/>
      <c r="D593" s="113">
        <v>200</v>
      </c>
      <c r="E593" s="201">
        <v>3.3</v>
      </c>
      <c r="F593" s="201">
        <v>6.9</v>
      </c>
      <c r="G593" s="201">
        <v>17</v>
      </c>
      <c r="H593" s="202">
        <f>E593*4+F593*9+G593*4</f>
        <v>143.3</v>
      </c>
      <c r="I593" s="263">
        <v>8.8</v>
      </c>
      <c r="J593" s="113" t="s">
        <v>421</v>
      </c>
      <c r="K593" s="14"/>
      <c r="L593" s="25" t="s">
        <v>127</v>
      </c>
      <c r="M593" s="78"/>
      <c r="N593" s="84"/>
    </row>
    <row r="594" spans="1:14" ht="24.75" customHeight="1">
      <c r="A594" s="269" t="s">
        <v>25</v>
      </c>
      <c r="B594" s="290">
        <f>C594*1.25</f>
        <v>43.75</v>
      </c>
      <c r="C594" s="290">
        <v>35</v>
      </c>
      <c r="D594" s="270"/>
      <c r="E594" s="271"/>
      <c r="F594" s="271"/>
      <c r="G594" s="271"/>
      <c r="H594" s="272"/>
      <c r="I594" s="309"/>
      <c r="J594" s="310"/>
      <c r="K594" s="14"/>
      <c r="L594" s="26" t="s">
        <v>128</v>
      </c>
      <c r="M594" s="78">
        <f>B737+++C663</f>
        <v>172</v>
      </c>
      <c r="N594" s="84"/>
    </row>
    <row r="595" spans="1:14" ht="24.75" customHeight="1">
      <c r="A595" s="269" t="s">
        <v>19</v>
      </c>
      <c r="B595" s="290">
        <f>C595*1.33</f>
        <v>46.550000000000004</v>
      </c>
      <c r="C595" s="290">
        <v>35</v>
      </c>
      <c r="D595" s="270"/>
      <c r="E595" s="271"/>
      <c r="F595" s="271"/>
      <c r="G595" s="271"/>
      <c r="H595" s="272"/>
      <c r="I595" s="309"/>
      <c r="J595" s="310"/>
      <c r="K595" s="14"/>
      <c r="L595" s="26" t="s">
        <v>321</v>
      </c>
      <c r="M595" s="78">
        <f>B745</f>
        <v>206</v>
      </c>
      <c r="N595" s="84">
        <f>B663+B737+B745</f>
        <v>378</v>
      </c>
    </row>
    <row r="596" spans="1:36" s="18" customFormat="1" ht="35.25" customHeight="1">
      <c r="A596" s="276" t="s">
        <v>21</v>
      </c>
      <c r="B596" s="290">
        <f>C596*1.33</f>
        <v>142.31</v>
      </c>
      <c r="C596" s="290">
        <v>107</v>
      </c>
      <c r="D596" s="270"/>
      <c r="E596" s="271"/>
      <c r="F596" s="271"/>
      <c r="G596" s="271"/>
      <c r="H596" s="271"/>
      <c r="I596" s="249"/>
      <c r="J596" s="416"/>
      <c r="K596" s="14"/>
      <c r="L596" s="25" t="s">
        <v>88</v>
      </c>
      <c r="M596" s="78"/>
      <c r="N596" s="8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</row>
    <row r="597" spans="1:36" s="18" customFormat="1" ht="24.75" customHeight="1">
      <c r="A597" s="269" t="s">
        <v>22</v>
      </c>
      <c r="B597" s="290">
        <f>C597*1.43</f>
        <v>153.01</v>
      </c>
      <c r="C597" s="290">
        <v>107</v>
      </c>
      <c r="D597" s="270"/>
      <c r="E597" s="271"/>
      <c r="F597" s="271"/>
      <c r="G597" s="271"/>
      <c r="H597" s="271"/>
      <c r="I597" s="249"/>
      <c r="J597" s="417"/>
      <c r="K597" s="14"/>
      <c r="L597" s="25" t="s">
        <v>89</v>
      </c>
      <c r="M597" s="78">
        <f>B696+B727</f>
        <v>10</v>
      </c>
      <c r="N597" s="84">
        <f>B696</f>
        <v>5</v>
      </c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</row>
    <row r="598" spans="1:36" s="18" customFormat="1" ht="24.75" customHeight="1">
      <c r="A598" s="269" t="s">
        <v>23</v>
      </c>
      <c r="B598" s="290">
        <f>C598*1.54</f>
        <v>164.78</v>
      </c>
      <c r="C598" s="290">
        <v>107</v>
      </c>
      <c r="D598" s="270"/>
      <c r="E598" s="271"/>
      <c r="F598" s="271"/>
      <c r="G598" s="271"/>
      <c r="H598" s="271"/>
      <c r="I598" s="249"/>
      <c r="J598" s="417"/>
      <c r="K598" s="14"/>
      <c r="L598" s="25" t="s">
        <v>132</v>
      </c>
      <c r="M598" s="78">
        <f>B671</f>
        <v>21</v>
      </c>
      <c r="N598" s="8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</row>
    <row r="599" spans="1:36" s="18" customFormat="1" ht="24.75" customHeight="1">
      <c r="A599" s="269" t="s">
        <v>24</v>
      </c>
      <c r="B599" s="290">
        <f>C599*1.67</f>
        <v>178.69</v>
      </c>
      <c r="C599" s="290">
        <v>107</v>
      </c>
      <c r="D599" s="270"/>
      <c r="E599" s="271"/>
      <c r="F599" s="271"/>
      <c r="G599" s="271"/>
      <c r="H599" s="271"/>
      <c r="I599" s="249"/>
      <c r="J599" s="417"/>
      <c r="K599" s="14"/>
      <c r="L599" s="25" t="s">
        <v>90</v>
      </c>
      <c r="M599" s="78">
        <f>B695++B738+B731+C668</f>
        <v>28</v>
      </c>
      <c r="N599" s="84">
        <f>B668+B695+B738</f>
        <v>23</v>
      </c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</row>
    <row r="600" spans="1:14" s="108" customFormat="1" ht="24.75" customHeight="1">
      <c r="A600" s="276" t="s">
        <v>418</v>
      </c>
      <c r="B600" s="265">
        <f>C600*1.54</f>
        <v>69.3</v>
      </c>
      <c r="C600" s="265">
        <v>45</v>
      </c>
      <c r="D600" s="270"/>
      <c r="E600" s="271"/>
      <c r="F600" s="271"/>
      <c r="G600" s="271"/>
      <c r="H600" s="271"/>
      <c r="I600" s="249"/>
      <c r="J600" s="417"/>
      <c r="K600" s="95"/>
      <c r="L600" s="25" t="s">
        <v>63</v>
      </c>
      <c r="M600" s="79">
        <f>B700++B683+B722+B730</f>
        <v>22</v>
      </c>
      <c r="N600" s="84">
        <f>B683+B700+B722</f>
        <v>20</v>
      </c>
    </row>
    <row r="601" spans="1:36" s="18" customFormat="1" ht="24.75" customHeight="1" thickBot="1">
      <c r="A601" s="269" t="s">
        <v>556</v>
      </c>
      <c r="B601" s="167">
        <v>69</v>
      </c>
      <c r="C601" s="265">
        <v>55</v>
      </c>
      <c r="D601" s="270"/>
      <c r="E601" s="271"/>
      <c r="F601" s="271"/>
      <c r="G601" s="271"/>
      <c r="H601" s="271"/>
      <c r="I601" s="309"/>
      <c r="J601" s="400"/>
      <c r="K601" s="14"/>
      <c r="L601" s="27" t="s">
        <v>91</v>
      </c>
      <c r="M601" s="79">
        <f>D672</f>
        <v>40</v>
      </c>
      <c r="N601" s="8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</row>
    <row r="602" spans="1:36" s="18" customFormat="1" ht="24.75" customHeight="1">
      <c r="A602" s="269" t="s">
        <v>116</v>
      </c>
      <c r="B602" s="288">
        <v>1.28</v>
      </c>
      <c r="C602" s="290">
        <v>1</v>
      </c>
      <c r="D602" s="270"/>
      <c r="E602" s="271"/>
      <c r="F602" s="271"/>
      <c r="G602" s="271"/>
      <c r="H602" s="271"/>
      <c r="I602" s="309"/>
      <c r="J602" s="400"/>
      <c r="K602" s="14"/>
      <c r="L602" s="152" t="s">
        <v>200</v>
      </c>
      <c r="M602" s="82"/>
      <c r="N602" s="8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</row>
    <row r="603" spans="1:36" s="18" customFormat="1" ht="24.75" customHeight="1">
      <c r="A603" s="269" t="s">
        <v>26</v>
      </c>
      <c r="B603" s="271">
        <v>17.8</v>
      </c>
      <c r="C603" s="270">
        <v>15</v>
      </c>
      <c r="D603" s="270"/>
      <c r="E603" s="271"/>
      <c r="F603" s="271"/>
      <c r="G603" s="271"/>
      <c r="H603" s="271"/>
      <c r="I603" s="249"/>
      <c r="J603" s="416"/>
      <c r="K603" s="14"/>
      <c r="L603" s="29" t="s">
        <v>206</v>
      </c>
      <c r="M603" s="156"/>
      <c r="N603" s="8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</row>
    <row r="604" spans="1:36" s="18" customFormat="1" ht="24.75" customHeight="1">
      <c r="A604" s="269" t="s">
        <v>20</v>
      </c>
      <c r="B604" s="290">
        <v>8</v>
      </c>
      <c r="C604" s="290">
        <v>8</v>
      </c>
      <c r="D604" s="270"/>
      <c r="E604" s="271"/>
      <c r="F604" s="271"/>
      <c r="G604" s="271"/>
      <c r="H604" s="271"/>
      <c r="I604" s="273"/>
      <c r="J604" s="400"/>
      <c r="K604" s="14"/>
      <c r="L604" s="29"/>
      <c r="M604" s="82"/>
      <c r="N604" s="8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</row>
    <row r="605" spans="1:36" s="18" customFormat="1" ht="102.75" customHeight="1">
      <c r="A605" s="483" t="s">
        <v>487</v>
      </c>
      <c r="B605" s="483"/>
      <c r="C605" s="483"/>
      <c r="D605" s="113">
        <v>200</v>
      </c>
      <c r="E605" s="201">
        <v>0.1</v>
      </c>
      <c r="F605" s="201">
        <v>0</v>
      </c>
      <c r="G605" s="201">
        <v>22</v>
      </c>
      <c r="H605" s="202">
        <f>E605*4+F605*9+G605*4</f>
        <v>88.4</v>
      </c>
      <c r="I605" s="263">
        <v>19</v>
      </c>
      <c r="J605" s="292" t="s">
        <v>486</v>
      </c>
      <c r="K605" s="45"/>
      <c r="L605" s="29"/>
      <c r="M605" s="82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</row>
    <row r="606" spans="1:36" s="3" customFormat="1" ht="24.75" customHeight="1">
      <c r="A606" s="501" t="s">
        <v>267</v>
      </c>
      <c r="B606" s="501"/>
      <c r="C606" s="501"/>
      <c r="D606" s="113">
        <v>70</v>
      </c>
      <c r="E606" s="36">
        <v>5.74</v>
      </c>
      <c r="F606" s="36">
        <v>0.9800000000000001</v>
      </c>
      <c r="G606" s="36">
        <v>26.6</v>
      </c>
      <c r="H606" s="75">
        <v>138.18</v>
      </c>
      <c r="I606" s="192">
        <v>0</v>
      </c>
      <c r="J606" s="192"/>
      <c r="K606" s="52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s="18" customFormat="1" ht="24.75" customHeight="1">
      <c r="A607" s="506" t="s">
        <v>70</v>
      </c>
      <c r="B607" s="506"/>
      <c r="C607" s="506"/>
      <c r="D607" s="227">
        <v>70</v>
      </c>
      <c r="E607" s="201">
        <v>4.62</v>
      </c>
      <c r="F607" s="201">
        <v>0.84</v>
      </c>
      <c r="G607" s="201">
        <v>23.38</v>
      </c>
      <c r="H607" s="202">
        <v>119</v>
      </c>
      <c r="I607" s="263">
        <v>0</v>
      </c>
      <c r="J607" s="263"/>
      <c r="K607" s="45"/>
      <c r="L607" s="29"/>
      <c r="M607" s="82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</row>
    <row r="608" spans="1:36" s="18" customFormat="1" ht="24.75" customHeight="1">
      <c r="A608" s="510" t="s">
        <v>59</v>
      </c>
      <c r="B608" s="510"/>
      <c r="C608" s="510"/>
      <c r="D608" s="510"/>
      <c r="E608" s="36">
        <f>SUM(E609:E624)</f>
        <v>2.72</v>
      </c>
      <c r="F608" s="36">
        <f>SUM(F609:F624)</f>
        <v>5.4</v>
      </c>
      <c r="G608" s="36">
        <f>SUM(G609:G624)</f>
        <v>38.7</v>
      </c>
      <c r="H608" s="75">
        <f>SUM(H609:H624)</f>
        <v>214.28</v>
      </c>
      <c r="I608" s="192">
        <f>SUM(I609:I624)</f>
        <v>0.08</v>
      </c>
      <c r="J608" s="192"/>
      <c r="K608" s="10"/>
      <c r="L608" s="29"/>
      <c r="M608" s="82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</row>
    <row r="609" spans="1:13" ht="24.75" customHeight="1">
      <c r="A609" s="262" t="s">
        <v>131</v>
      </c>
      <c r="B609" s="262"/>
      <c r="C609" s="262"/>
      <c r="D609" s="113">
        <v>90</v>
      </c>
      <c r="E609" s="36">
        <v>2.52</v>
      </c>
      <c r="F609" s="36">
        <v>5.4</v>
      </c>
      <c r="G609" s="36">
        <v>27.8</v>
      </c>
      <c r="H609" s="75">
        <f>E609*4+F609*9+G609*4</f>
        <v>169.88</v>
      </c>
      <c r="I609" s="192">
        <v>0.08</v>
      </c>
      <c r="J609" s="263" t="s">
        <v>504</v>
      </c>
      <c r="K609" s="95"/>
      <c r="L609" s="24"/>
      <c r="M609" s="24"/>
    </row>
    <row r="610" spans="1:13" ht="21" customHeight="1">
      <c r="A610" s="269" t="s">
        <v>28</v>
      </c>
      <c r="B610" s="272">
        <v>45</v>
      </c>
      <c r="C610" s="272">
        <v>45</v>
      </c>
      <c r="D610" s="406"/>
      <c r="E610" s="405"/>
      <c r="F610" s="405"/>
      <c r="G610" s="405"/>
      <c r="H610" s="406"/>
      <c r="I610" s="407"/>
      <c r="J610" s="407"/>
      <c r="K610" s="14"/>
      <c r="L610" s="24"/>
      <c r="M610" s="24"/>
    </row>
    <row r="611" spans="1:36" s="18" customFormat="1" ht="24.75" customHeight="1">
      <c r="A611" s="269" t="s">
        <v>12</v>
      </c>
      <c r="B611" s="271">
        <v>2.1</v>
      </c>
      <c r="C611" s="271">
        <v>2.1</v>
      </c>
      <c r="D611" s="406"/>
      <c r="E611" s="405"/>
      <c r="F611" s="405"/>
      <c r="G611" s="405"/>
      <c r="H611" s="272"/>
      <c r="I611" s="273"/>
      <c r="J611" s="273"/>
      <c r="K611" s="14"/>
      <c r="L611" s="29"/>
      <c r="M611" s="82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</row>
    <row r="612" spans="1:36" s="18" customFormat="1" ht="20.25" customHeight="1">
      <c r="A612" s="269" t="s">
        <v>108</v>
      </c>
      <c r="B612" s="272">
        <v>18</v>
      </c>
      <c r="C612" s="272">
        <v>18</v>
      </c>
      <c r="D612" s="406"/>
      <c r="E612" s="405"/>
      <c r="F612" s="405"/>
      <c r="G612" s="405"/>
      <c r="H612" s="406"/>
      <c r="I612" s="407"/>
      <c r="J612" s="407"/>
      <c r="K612" s="14"/>
      <c r="L612" s="29"/>
      <c r="M612" s="82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</row>
    <row r="613" spans="1:36" s="18" customFormat="1" ht="18" customHeight="1">
      <c r="A613" s="269" t="s">
        <v>20</v>
      </c>
      <c r="B613" s="271">
        <v>2.1</v>
      </c>
      <c r="C613" s="271">
        <v>2.1</v>
      </c>
      <c r="D613" s="406"/>
      <c r="E613" s="405"/>
      <c r="F613" s="271"/>
      <c r="G613" s="271"/>
      <c r="H613" s="272"/>
      <c r="I613" s="273"/>
      <c r="J613" s="273"/>
      <c r="K613" s="14"/>
      <c r="L613" s="29"/>
      <c r="M613" s="82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</row>
    <row r="614" spans="1:11" s="18" customFormat="1" ht="18.75" customHeight="1">
      <c r="A614" s="274" t="s">
        <v>149</v>
      </c>
      <c r="B614" s="271">
        <v>0.5</v>
      </c>
      <c r="C614" s="271">
        <v>0.5</v>
      </c>
      <c r="D614" s="406"/>
      <c r="E614" s="405"/>
      <c r="F614" s="271"/>
      <c r="G614" s="271"/>
      <c r="H614" s="272"/>
      <c r="I614" s="273"/>
      <c r="J614" s="273"/>
      <c r="K614" s="10"/>
    </row>
    <row r="615" spans="1:36" s="18" customFormat="1" ht="20.25" customHeight="1">
      <c r="A615" s="269" t="s">
        <v>27</v>
      </c>
      <c r="B615" s="271">
        <v>2.6</v>
      </c>
      <c r="C615" s="271">
        <v>2.6</v>
      </c>
      <c r="D615" s="406"/>
      <c r="E615" s="405"/>
      <c r="F615" s="271"/>
      <c r="G615" s="271"/>
      <c r="H615" s="272"/>
      <c r="I615" s="273"/>
      <c r="J615" s="273"/>
      <c r="K615" s="10"/>
      <c r="L615" s="29"/>
      <c r="M615" s="82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</row>
    <row r="616" spans="1:36" s="18" customFormat="1" ht="24.75" customHeight="1">
      <c r="A616" s="291" t="s">
        <v>100</v>
      </c>
      <c r="B616" s="271">
        <v>0.7</v>
      </c>
      <c r="C616" s="271">
        <v>0.7</v>
      </c>
      <c r="D616" s="406"/>
      <c r="E616" s="405"/>
      <c r="F616" s="271"/>
      <c r="G616" s="271"/>
      <c r="H616" s="272"/>
      <c r="I616" s="273"/>
      <c r="J616" s="273"/>
      <c r="K616" s="10"/>
      <c r="L616" s="29"/>
      <c r="M616" s="82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</row>
    <row r="617" spans="1:36" s="18" customFormat="1" ht="24.75" customHeight="1">
      <c r="A617" s="291" t="s">
        <v>218</v>
      </c>
      <c r="B617" s="271">
        <v>0.2</v>
      </c>
      <c r="C617" s="271">
        <v>0.2</v>
      </c>
      <c r="D617" s="406"/>
      <c r="E617" s="405"/>
      <c r="F617" s="271"/>
      <c r="G617" s="271"/>
      <c r="H617" s="272"/>
      <c r="I617" s="273"/>
      <c r="J617" s="273"/>
      <c r="K617" s="10"/>
      <c r="L617" s="29"/>
      <c r="M617" s="82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</row>
    <row r="618" spans="1:13" s="108" customFormat="1" ht="24.75" customHeight="1">
      <c r="A618" s="326" t="s">
        <v>152</v>
      </c>
      <c r="B618" s="328">
        <f>C618*1.5</f>
        <v>48.857142857142854</v>
      </c>
      <c r="C618" s="272">
        <v>32.57142857142857</v>
      </c>
      <c r="D618" s="406"/>
      <c r="E618" s="405"/>
      <c r="F618" s="271"/>
      <c r="G618" s="271"/>
      <c r="H618" s="272"/>
      <c r="I618" s="273"/>
      <c r="J618" s="273"/>
      <c r="K618" s="100"/>
      <c r="L618" s="96"/>
      <c r="M618" s="107"/>
    </row>
    <row r="619" spans="1:13" s="108" customFormat="1" ht="41.25" customHeight="1">
      <c r="A619" s="326" t="s">
        <v>160</v>
      </c>
      <c r="B619" s="328">
        <f>C619*1.82</f>
        <v>59.28</v>
      </c>
      <c r="C619" s="272">
        <v>32.57142857142857</v>
      </c>
      <c r="D619" s="406"/>
      <c r="E619" s="405"/>
      <c r="F619" s="271"/>
      <c r="G619" s="271"/>
      <c r="H619" s="272"/>
      <c r="I619" s="273"/>
      <c r="J619" s="273"/>
      <c r="K619" s="100"/>
      <c r="L619" s="96"/>
      <c r="M619" s="107"/>
    </row>
    <row r="620" spans="1:11" s="18" customFormat="1" ht="18.75" customHeight="1">
      <c r="A620" s="269" t="s">
        <v>26</v>
      </c>
      <c r="B620" s="290">
        <f>C620*1.19</f>
        <v>7.14</v>
      </c>
      <c r="C620" s="272">
        <v>6</v>
      </c>
      <c r="D620" s="406"/>
      <c r="E620" s="405"/>
      <c r="F620" s="271"/>
      <c r="G620" s="271"/>
      <c r="H620" s="272"/>
      <c r="I620" s="273"/>
      <c r="J620" s="273"/>
      <c r="K620" s="10"/>
    </row>
    <row r="621" spans="1:36" s="18" customFormat="1" ht="20.25" customHeight="1">
      <c r="A621" s="276" t="s">
        <v>117</v>
      </c>
      <c r="B621" s="287">
        <v>0.5</v>
      </c>
      <c r="C621" s="287">
        <v>0.5</v>
      </c>
      <c r="D621" s="406"/>
      <c r="E621" s="405"/>
      <c r="F621" s="405"/>
      <c r="G621" s="405"/>
      <c r="H621" s="406"/>
      <c r="I621" s="407"/>
      <c r="J621" s="407"/>
      <c r="K621" s="10"/>
      <c r="L621" s="29"/>
      <c r="M621" s="82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</row>
    <row r="622" spans="1:11" ht="24.75" customHeight="1">
      <c r="A622" s="262" t="s">
        <v>37</v>
      </c>
      <c r="B622" s="262"/>
      <c r="C622" s="262"/>
      <c r="D622" s="113">
        <v>200</v>
      </c>
      <c r="E622" s="201">
        <v>0.2</v>
      </c>
      <c r="F622" s="201">
        <v>0</v>
      </c>
      <c r="G622" s="201">
        <v>10.9</v>
      </c>
      <c r="H622" s="75">
        <f>E622*4+F622*9+G622*4</f>
        <v>44.4</v>
      </c>
      <c r="I622" s="192">
        <v>0</v>
      </c>
      <c r="J622" s="395" t="s">
        <v>386</v>
      </c>
      <c r="K622" s="10"/>
    </row>
    <row r="623" spans="1:11" s="18" customFormat="1" ht="24.75" customHeight="1">
      <c r="A623" s="269" t="s">
        <v>16</v>
      </c>
      <c r="B623" s="270">
        <v>0.4</v>
      </c>
      <c r="C623" s="270">
        <v>0.4</v>
      </c>
      <c r="D623" s="270"/>
      <c r="E623" s="36"/>
      <c r="F623" s="36"/>
      <c r="G623" s="36"/>
      <c r="H623" s="75"/>
      <c r="I623" s="192"/>
      <c r="J623" s="192"/>
      <c r="K623" s="10"/>
    </row>
    <row r="624" spans="1:11" s="18" customFormat="1" ht="24.75" customHeight="1">
      <c r="A624" s="269" t="s">
        <v>12</v>
      </c>
      <c r="B624" s="270">
        <v>12</v>
      </c>
      <c r="C624" s="270">
        <v>12</v>
      </c>
      <c r="D624" s="270"/>
      <c r="E624" s="271"/>
      <c r="F624" s="271"/>
      <c r="G624" s="271"/>
      <c r="H624" s="272"/>
      <c r="I624" s="273"/>
      <c r="J624" s="273"/>
      <c r="K624" s="10"/>
    </row>
    <row r="625" spans="1:36" s="18" customFormat="1" ht="24.75" customHeight="1">
      <c r="A625" s="510" t="s">
        <v>30</v>
      </c>
      <c r="B625" s="510"/>
      <c r="C625" s="510"/>
      <c r="D625" s="510"/>
      <c r="E625" s="36">
        <f>E626+E631+E643+E646+E650+E651</f>
        <v>21.78</v>
      </c>
      <c r="F625" s="36">
        <f>F626+F631+F643+F646+F650+F651</f>
        <v>16.759999999999998</v>
      </c>
      <c r="G625" s="36">
        <f>G626+G631+G643+G646+G650+G651</f>
        <v>110.5</v>
      </c>
      <c r="H625" s="75">
        <f>H626+H631+H643+H646+H650+H651</f>
        <v>679.96</v>
      </c>
      <c r="I625" s="192">
        <f>I626+I631+I643+I646+I650+I651</f>
        <v>20.820000000000004</v>
      </c>
      <c r="J625" s="36"/>
      <c r="K625" s="14"/>
      <c r="L625" s="29"/>
      <c r="M625" s="82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</row>
    <row r="626" spans="1:36" s="18" customFormat="1" ht="24.75" customHeight="1">
      <c r="A626" s="262" t="s">
        <v>234</v>
      </c>
      <c r="B626" s="270"/>
      <c r="C626" s="270"/>
      <c r="D626" s="113">
        <v>80</v>
      </c>
      <c r="E626" s="36">
        <v>0.8</v>
      </c>
      <c r="F626" s="36">
        <v>0</v>
      </c>
      <c r="G626" s="36">
        <v>1.8</v>
      </c>
      <c r="H626" s="75">
        <f>E626*4+F626*9+G626*4</f>
        <v>10.4</v>
      </c>
      <c r="I626" s="192">
        <v>19.94</v>
      </c>
      <c r="J626" s="192" t="s">
        <v>334</v>
      </c>
      <c r="K626" s="14"/>
      <c r="L626" s="29"/>
      <c r="M626" s="82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</row>
    <row r="627" spans="1:11" s="127" customFormat="1" ht="24.75" customHeight="1">
      <c r="A627" s="285" t="s">
        <v>120</v>
      </c>
      <c r="B627" s="290">
        <f>C627*1.02</f>
        <v>74.46000000000001</v>
      </c>
      <c r="C627" s="286">
        <v>73</v>
      </c>
      <c r="D627" s="272"/>
      <c r="E627" s="271"/>
      <c r="F627" s="271"/>
      <c r="G627" s="271"/>
      <c r="H627" s="272"/>
      <c r="I627" s="273"/>
      <c r="J627" s="273"/>
      <c r="K627" s="14"/>
    </row>
    <row r="628" spans="1:61" s="127" customFormat="1" ht="24.75" customHeight="1">
      <c r="A628" s="285" t="s">
        <v>215</v>
      </c>
      <c r="B628" s="290">
        <f>C628*1.18</f>
        <v>86.14</v>
      </c>
      <c r="C628" s="286">
        <v>73</v>
      </c>
      <c r="D628" s="270"/>
      <c r="E628" s="271"/>
      <c r="F628" s="271"/>
      <c r="G628" s="271"/>
      <c r="H628" s="272"/>
      <c r="I628" s="273"/>
      <c r="J628" s="273"/>
      <c r="K628" s="14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  <c r="AA628" s="128"/>
      <c r="AB628" s="128"/>
      <c r="AC628" s="128"/>
      <c r="AD628" s="128"/>
      <c r="AE628" s="128"/>
      <c r="AF628" s="128"/>
      <c r="AG628" s="128"/>
      <c r="AH628" s="128"/>
      <c r="AI628" s="128"/>
      <c r="AJ628" s="128"/>
      <c r="AK628" s="128"/>
      <c r="AL628" s="128"/>
      <c r="AM628" s="128"/>
      <c r="AN628" s="128"/>
      <c r="AO628" s="128"/>
      <c r="AP628" s="128"/>
      <c r="AQ628" s="128"/>
      <c r="AR628" s="128"/>
      <c r="AS628" s="128"/>
      <c r="AT628" s="128"/>
      <c r="AU628" s="128"/>
      <c r="AV628" s="128"/>
      <c r="AW628" s="128"/>
      <c r="AX628" s="128"/>
      <c r="AY628" s="128"/>
      <c r="AZ628" s="128"/>
      <c r="BA628" s="128"/>
      <c r="BB628" s="128"/>
      <c r="BC628" s="128"/>
      <c r="BD628" s="128"/>
      <c r="BE628" s="128"/>
      <c r="BF628" s="128"/>
      <c r="BG628" s="128"/>
      <c r="BH628" s="128"/>
      <c r="BI628" s="128"/>
    </row>
    <row r="629" spans="1:11" s="20" customFormat="1" ht="24.75" customHeight="1">
      <c r="A629" s="291" t="s">
        <v>212</v>
      </c>
      <c r="B629" s="287">
        <f>C629*1.25</f>
        <v>8.75</v>
      </c>
      <c r="C629" s="286">
        <v>7</v>
      </c>
      <c r="D629" s="272"/>
      <c r="E629" s="271"/>
      <c r="F629" s="271"/>
      <c r="G629" s="271"/>
      <c r="H629" s="272"/>
      <c r="I629" s="273"/>
      <c r="J629" s="273"/>
      <c r="K629" s="14"/>
    </row>
    <row r="630" spans="1:11" s="127" customFormat="1" ht="24.75" customHeight="1">
      <c r="A630" s="285" t="s">
        <v>113</v>
      </c>
      <c r="B630" s="290">
        <f>C630*1.19</f>
        <v>8.33</v>
      </c>
      <c r="C630" s="286">
        <v>7</v>
      </c>
      <c r="D630" s="272"/>
      <c r="E630" s="271"/>
      <c r="F630" s="271"/>
      <c r="G630" s="271"/>
      <c r="H630" s="272"/>
      <c r="I630" s="273"/>
      <c r="J630" s="273"/>
      <c r="K630" s="13"/>
    </row>
    <row r="631" spans="1:11" s="127" customFormat="1" ht="24.75" customHeight="1">
      <c r="A631" s="277" t="s">
        <v>275</v>
      </c>
      <c r="B631" s="286"/>
      <c r="C631" s="286"/>
      <c r="D631" s="113" t="s">
        <v>240</v>
      </c>
      <c r="E631" s="201">
        <v>8.4</v>
      </c>
      <c r="F631" s="201">
        <v>9.1</v>
      </c>
      <c r="G631" s="201">
        <v>8.9</v>
      </c>
      <c r="H631" s="202">
        <f>E631*4+F631*9+G631*4</f>
        <v>151.1</v>
      </c>
      <c r="I631" s="263">
        <v>0.1</v>
      </c>
      <c r="J631" s="263" t="s">
        <v>423</v>
      </c>
      <c r="K631" s="14"/>
    </row>
    <row r="632" spans="1:11" s="127" customFormat="1" ht="24.75" customHeight="1">
      <c r="A632" s="302" t="s">
        <v>67</v>
      </c>
      <c r="B632" s="301">
        <f>C632*1.18</f>
        <v>130.98</v>
      </c>
      <c r="C632" s="290">
        <v>111</v>
      </c>
      <c r="D632" s="272"/>
      <c r="E632" s="292"/>
      <c r="F632" s="292"/>
      <c r="G632" s="292"/>
      <c r="H632" s="292"/>
      <c r="I632" s="364"/>
      <c r="J632" s="292"/>
      <c r="K632" s="13"/>
    </row>
    <row r="633" spans="1:14" s="127" customFormat="1" ht="24.75" customHeight="1">
      <c r="A633" s="299" t="s">
        <v>71</v>
      </c>
      <c r="B633" s="301">
        <f>C633*1.36</f>
        <v>150.96</v>
      </c>
      <c r="C633" s="290">
        <v>111</v>
      </c>
      <c r="D633" s="272"/>
      <c r="E633" s="271"/>
      <c r="F633" s="271"/>
      <c r="G633" s="271"/>
      <c r="H633" s="271"/>
      <c r="I633" s="273"/>
      <c r="J633" s="273"/>
      <c r="K633" s="13"/>
      <c r="N633" s="84"/>
    </row>
    <row r="634" spans="1:14" s="20" customFormat="1" ht="24.75" customHeight="1">
      <c r="A634" s="280" t="s">
        <v>272</v>
      </c>
      <c r="B634" s="305"/>
      <c r="C634" s="305">
        <v>70</v>
      </c>
      <c r="D634" s="272"/>
      <c r="E634" s="271"/>
      <c r="F634" s="271"/>
      <c r="G634" s="271"/>
      <c r="H634" s="271"/>
      <c r="I634" s="273"/>
      <c r="J634" s="273"/>
      <c r="K634" s="45"/>
      <c r="N634" s="84"/>
    </row>
    <row r="635" spans="1:36" s="18" customFormat="1" ht="24.75" customHeight="1">
      <c r="A635" s="280" t="s">
        <v>29</v>
      </c>
      <c r="B635" s="305">
        <v>18</v>
      </c>
      <c r="C635" s="305">
        <v>18</v>
      </c>
      <c r="D635" s="272"/>
      <c r="E635" s="271"/>
      <c r="F635" s="271"/>
      <c r="G635" s="271"/>
      <c r="H635" s="271"/>
      <c r="I635" s="273"/>
      <c r="J635" s="273"/>
      <c r="K635" s="14"/>
      <c r="L635" s="29"/>
      <c r="M635" s="82"/>
      <c r="N635" s="8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</row>
    <row r="636" spans="1:14" ht="24.75" customHeight="1">
      <c r="A636" s="280" t="s">
        <v>273</v>
      </c>
      <c r="B636" s="305"/>
      <c r="C636" s="305">
        <v>25</v>
      </c>
      <c r="D636" s="272"/>
      <c r="E636" s="271"/>
      <c r="F636" s="271"/>
      <c r="G636" s="271"/>
      <c r="H636" s="271"/>
      <c r="I636" s="273"/>
      <c r="J636" s="273"/>
      <c r="K636" s="14"/>
      <c r="N636" s="84"/>
    </row>
    <row r="637" spans="1:36" s="18" customFormat="1" ht="24.75" customHeight="1">
      <c r="A637" s="280" t="s">
        <v>148</v>
      </c>
      <c r="B637" s="305">
        <v>20</v>
      </c>
      <c r="C637" s="305">
        <v>20</v>
      </c>
      <c r="D637" s="167"/>
      <c r="E637" s="266"/>
      <c r="F637" s="266"/>
      <c r="G637" s="266"/>
      <c r="H637" s="266"/>
      <c r="I637" s="267"/>
      <c r="J637" s="267"/>
      <c r="K637" s="14"/>
      <c r="L637" s="29"/>
      <c r="M637" s="82"/>
      <c r="N637" s="8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</row>
    <row r="638" spans="1:36" s="18" customFormat="1" ht="24.75" customHeight="1">
      <c r="A638" s="280" t="s">
        <v>27</v>
      </c>
      <c r="B638" s="305">
        <v>4</v>
      </c>
      <c r="C638" s="305">
        <v>4</v>
      </c>
      <c r="D638" s="271"/>
      <c r="E638" s="271"/>
      <c r="F638" s="271"/>
      <c r="G638" s="271"/>
      <c r="H638" s="271"/>
      <c r="I638" s="273"/>
      <c r="J638" s="273"/>
      <c r="K638" s="14"/>
      <c r="L638" s="29"/>
      <c r="M638" s="82"/>
      <c r="N638" s="8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</row>
    <row r="639" spans="1:14" ht="24.75" customHeight="1">
      <c r="A639" s="280" t="s">
        <v>28</v>
      </c>
      <c r="B639" s="305">
        <v>4</v>
      </c>
      <c r="C639" s="305">
        <v>4</v>
      </c>
      <c r="D639" s="271"/>
      <c r="E639" s="271"/>
      <c r="F639" s="271"/>
      <c r="G639" s="271"/>
      <c r="H639" s="271"/>
      <c r="I639" s="273"/>
      <c r="J639" s="273"/>
      <c r="K639" s="14"/>
      <c r="N639" s="84"/>
    </row>
    <row r="640" spans="1:36" s="18" customFormat="1" ht="24.75" customHeight="1">
      <c r="A640" s="280" t="s">
        <v>271</v>
      </c>
      <c r="B640" s="305">
        <v>4</v>
      </c>
      <c r="C640" s="305">
        <v>4</v>
      </c>
      <c r="D640" s="271"/>
      <c r="E640" s="271"/>
      <c r="F640" s="271"/>
      <c r="G640" s="271"/>
      <c r="H640" s="271"/>
      <c r="I640" s="273"/>
      <c r="J640" s="273"/>
      <c r="K640" s="14"/>
      <c r="L640" s="29"/>
      <c r="M640" s="82"/>
      <c r="N640" s="8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</row>
    <row r="641" spans="1:36" s="18" customFormat="1" ht="24.75" customHeight="1">
      <c r="A641" s="280" t="s">
        <v>274</v>
      </c>
      <c r="B641" s="305">
        <v>2</v>
      </c>
      <c r="C641" s="305">
        <v>2</v>
      </c>
      <c r="D641" s="272"/>
      <c r="E641" s="271"/>
      <c r="F641" s="271"/>
      <c r="G641" s="271"/>
      <c r="H641" s="271"/>
      <c r="I641" s="273"/>
      <c r="J641" s="273"/>
      <c r="K641" s="14"/>
      <c r="L641" s="29"/>
      <c r="M641" s="82"/>
      <c r="N641" s="8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</row>
    <row r="642" spans="1:14" s="18" customFormat="1" ht="24.75" customHeight="1">
      <c r="A642" s="285" t="s">
        <v>27</v>
      </c>
      <c r="B642" s="286">
        <v>5</v>
      </c>
      <c r="C642" s="286">
        <v>5</v>
      </c>
      <c r="D642" s="286"/>
      <c r="E642" s="287"/>
      <c r="F642" s="287"/>
      <c r="G642" s="287"/>
      <c r="H642" s="290"/>
      <c r="I642" s="288"/>
      <c r="J642" s="288"/>
      <c r="K642" s="14"/>
      <c r="L642" s="29"/>
      <c r="M642" s="82"/>
      <c r="N642" s="84"/>
    </row>
    <row r="643" spans="1:14" s="18" customFormat="1" ht="24.75" customHeight="1">
      <c r="A643" s="501" t="s">
        <v>154</v>
      </c>
      <c r="B643" s="501"/>
      <c r="C643" s="501"/>
      <c r="D643" s="113">
        <v>200</v>
      </c>
      <c r="E643" s="201">
        <v>2.9</v>
      </c>
      <c r="F643" s="201">
        <v>3.6</v>
      </c>
      <c r="G643" s="201">
        <v>46.5</v>
      </c>
      <c r="H643" s="75">
        <f>E643*4+F643*9+G643*4</f>
        <v>230</v>
      </c>
      <c r="I643" s="192">
        <v>0</v>
      </c>
      <c r="J643" s="192" t="s">
        <v>354</v>
      </c>
      <c r="K643" s="14"/>
      <c r="L643" s="29"/>
      <c r="M643" s="82"/>
      <c r="N643" s="24"/>
    </row>
    <row r="644" spans="1:14" s="18" customFormat="1" ht="24.75" customHeight="1">
      <c r="A644" s="280" t="s">
        <v>105</v>
      </c>
      <c r="B644" s="305">
        <v>70</v>
      </c>
      <c r="C644" s="305">
        <v>70</v>
      </c>
      <c r="D644" s="281"/>
      <c r="E644" s="201"/>
      <c r="F644" s="201"/>
      <c r="G644" s="201"/>
      <c r="H644" s="202"/>
      <c r="I644" s="263"/>
      <c r="J644" s="263"/>
      <c r="K644" s="14"/>
      <c r="L644" s="29"/>
      <c r="M644" s="82"/>
      <c r="N644" s="24"/>
    </row>
    <row r="645" spans="1:14" s="18" customFormat="1" ht="24.75" customHeight="1">
      <c r="A645" s="285" t="s">
        <v>27</v>
      </c>
      <c r="B645" s="290">
        <v>5</v>
      </c>
      <c r="C645" s="290">
        <v>5</v>
      </c>
      <c r="D645" s="286"/>
      <c r="E645" s="287"/>
      <c r="F645" s="287"/>
      <c r="G645" s="287"/>
      <c r="H645" s="287"/>
      <c r="I645" s="288"/>
      <c r="J645" s="288"/>
      <c r="K645" s="14"/>
      <c r="L645" s="29"/>
      <c r="M645" s="82"/>
      <c r="N645" s="24"/>
    </row>
    <row r="646" spans="1:13" ht="24.75" customHeight="1">
      <c r="A646" s="501" t="s">
        <v>572</v>
      </c>
      <c r="B646" s="501"/>
      <c r="C646" s="501"/>
      <c r="D646" s="113">
        <v>200</v>
      </c>
      <c r="E646" s="201">
        <v>3.1</v>
      </c>
      <c r="F646" s="201">
        <v>2.9</v>
      </c>
      <c r="G646" s="201">
        <v>21.4</v>
      </c>
      <c r="H646" s="202">
        <f>E646*4+F646*9+G646*4</f>
        <v>124.1</v>
      </c>
      <c r="I646" s="263">
        <v>0.78</v>
      </c>
      <c r="J646" s="263" t="s">
        <v>357</v>
      </c>
      <c r="L646" s="24"/>
      <c r="M646" s="24"/>
    </row>
    <row r="647" spans="1:14" s="18" customFormat="1" ht="24.75" customHeight="1">
      <c r="A647" s="269" t="s">
        <v>102</v>
      </c>
      <c r="B647" s="270">
        <v>2.5</v>
      </c>
      <c r="C647" s="270">
        <v>2.5</v>
      </c>
      <c r="D647" s="270"/>
      <c r="E647" s="271"/>
      <c r="F647" s="271"/>
      <c r="G647" s="271"/>
      <c r="H647" s="272"/>
      <c r="I647" s="192"/>
      <c r="J647" s="263"/>
      <c r="K647" s="64"/>
      <c r="L647" s="29"/>
      <c r="M647" s="82"/>
      <c r="N647" s="24"/>
    </row>
    <row r="648" spans="1:14" s="18" customFormat="1" ht="24.75" customHeight="1">
      <c r="A648" s="418" t="s">
        <v>148</v>
      </c>
      <c r="B648" s="270">
        <v>130</v>
      </c>
      <c r="C648" s="270">
        <v>130</v>
      </c>
      <c r="D648" s="270"/>
      <c r="E648" s="271"/>
      <c r="F648" s="271"/>
      <c r="G648" s="271"/>
      <c r="H648" s="272"/>
      <c r="I648" s="192"/>
      <c r="J648" s="263"/>
      <c r="K648" s="64"/>
      <c r="L648" s="29"/>
      <c r="M648" s="82"/>
      <c r="N648" s="24"/>
    </row>
    <row r="649" spans="1:10" ht="24.75" customHeight="1">
      <c r="A649" s="280" t="s">
        <v>12</v>
      </c>
      <c r="B649" s="265">
        <v>15</v>
      </c>
      <c r="C649" s="265">
        <v>15</v>
      </c>
      <c r="D649" s="265"/>
      <c r="E649" s="266"/>
      <c r="F649" s="266"/>
      <c r="G649" s="266"/>
      <c r="H649" s="167"/>
      <c r="I649" s="263"/>
      <c r="J649" s="263"/>
    </row>
    <row r="650" spans="1:36" s="18" customFormat="1" ht="24.75" customHeight="1">
      <c r="A650" s="506" t="s">
        <v>70</v>
      </c>
      <c r="B650" s="506"/>
      <c r="C650" s="506"/>
      <c r="D650" s="227">
        <v>50</v>
      </c>
      <c r="E650" s="201">
        <v>3.3</v>
      </c>
      <c r="F650" s="201">
        <v>0.6</v>
      </c>
      <c r="G650" s="201">
        <v>16.7</v>
      </c>
      <c r="H650" s="202">
        <f>E650*4+F650*9+G650*4</f>
        <v>85.39999999999999</v>
      </c>
      <c r="I650" s="263">
        <v>0</v>
      </c>
      <c r="J650" s="263"/>
      <c r="K650" s="64"/>
      <c r="L650" s="29"/>
      <c r="M650" s="82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</row>
    <row r="651" spans="1:36" s="18" customFormat="1" ht="24.75" customHeight="1">
      <c r="A651" s="501" t="s">
        <v>267</v>
      </c>
      <c r="B651" s="501"/>
      <c r="C651" s="501"/>
      <c r="D651" s="113">
        <v>40</v>
      </c>
      <c r="E651" s="36">
        <v>3.28</v>
      </c>
      <c r="F651" s="36">
        <v>0.56</v>
      </c>
      <c r="G651" s="36">
        <v>15.2</v>
      </c>
      <c r="H651" s="75">
        <v>78.96</v>
      </c>
      <c r="I651" s="192">
        <v>0</v>
      </c>
      <c r="J651" s="192"/>
      <c r="K651" s="64"/>
      <c r="L651" s="29"/>
      <c r="M651" s="82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</row>
    <row r="652" spans="1:36" s="18" customFormat="1" ht="24.75" customHeight="1">
      <c r="A652" s="510" t="s">
        <v>220</v>
      </c>
      <c r="B652" s="510"/>
      <c r="C652" s="510"/>
      <c r="D652" s="510"/>
      <c r="E652" s="510"/>
      <c r="F652" s="510"/>
      <c r="G652" s="510"/>
      <c r="H652" s="510"/>
      <c r="I652" s="510"/>
      <c r="J652" s="510"/>
      <c r="K652" s="64"/>
      <c r="L652" s="29"/>
      <c r="M652" s="82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</row>
    <row r="653" spans="1:36" s="18" customFormat="1" ht="83.25" customHeight="1">
      <c r="A653" s="332" t="s">
        <v>246</v>
      </c>
      <c r="B653" s="265">
        <v>206</v>
      </c>
      <c r="C653" s="281">
        <v>200</v>
      </c>
      <c r="D653" s="227">
        <v>200</v>
      </c>
      <c r="E653" s="201">
        <v>4.2</v>
      </c>
      <c r="F653" s="201">
        <v>4.8</v>
      </c>
      <c r="G653" s="201">
        <v>8</v>
      </c>
      <c r="H653" s="202">
        <f>E653*4+F653*9+G653*4</f>
        <v>92</v>
      </c>
      <c r="I653" s="263">
        <v>1.37</v>
      </c>
      <c r="J653" s="263" t="s">
        <v>364</v>
      </c>
      <c r="K653" s="64"/>
      <c r="L653" s="29"/>
      <c r="M653" s="82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</row>
    <row r="654" spans="1:36" s="18" customFormat="1" ht="24.75" customHeight="1">
      <c r="A654" s="482" t="s">
        <v>140</v>
      </c>
      <c r="B654" s="482"/>
      <c r="C654" s="482"/>
      <c r="D654" s="482"/>
      <c r="E654" s="334">
        <f>E652+E625+E608+E560+E530+E558</f>
        <v>73.10000000000001</v>
      </c>
      <c r="F654" s="334">
        <f>F652+F625+F608+F560+F530+F558</f>
        <v>80.56</v>
      </c>
      <c r="G654" s="334">
        <f>G652+G625+G608+G560+G530+G558</f>
        <v>363.78</v>
      </c>
      <c r="H654" s="352">
        <f>H652+H625+H608+H560+H530+H558</f>
        <v>2472</v>
      </c>
      <c r="I654" s="386">
        <f>I652+I625+I608+I560+I530+I558</f>
        <v>141.54</v>
      </c>
      <c r="J654" s="334"/>
      <c r="K654" s="158"/>
      <c r="L654" s="29"/>
      <c r="M654" s="82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</row>
    <row r="655" spans="1:36" s="18" customFormat="1" ht="24.75" customHeight="1">
      <c r="A655" s="533" t="s">
        <v>0</v>
      </c>
      <c r="B655" s="533"/>
      <c r="C655" s="533"/>
      <c r="D655" s="533"/>
      <c r="E655" s="533"/>
      <c r="F655" s="533"/>
      <c r="G655" s="533"/>
      <c r="H655" s="533"/>
      <c r="I655" s="533"/>
      <c r="J655" s="533"/>
      <c r="K655" s="14"/>
      <c r="L655" s="29"/>
      <c r="M655" s="82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</row>
    <row r="656" spans="1:36" s="18" customFormat="1" ht="24.75" customHeight="1">
      <c r="A656" s="533" t="s">
        <v>44</v>
      </c>
      <c r="B656" s="533"/>
      <c r="C656" s="533"/>
      <c r="D656" s="533"/>
      <c r="E656" s="533"/>
      <c r="F656" s="533"/>
      <c r="G656" s="533"/>
      <c r="H656" s="533"/>
      <c r="I656" s="533"/>
      <c r="J656" s="533"/>
      <c r="K656" s="100"/>
      <c r="L656" s="29"/>
      <c r="M656" s="82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</row>
    <row r="657" spans="1:36" s="18" customFormat="1" ht="24.75" customHeight="1">
      <c r="A657" s="498" t="s">
        <v>2</v>
      </c>
      <c r="B657" s="497" t="s">
        <v>3</v>
      </c>
      <c r="C657" s="497" t="s">
        <v>4</v>
      </c>
      <c r="D657" s="498" t="s">
        <v>5</v>
      </c>
      <c r="E657" s="498"/>
      <c r="F657" s="498"/>
      <c r="G657" s="498"/>
      <c r="H657" s="498"/>
      <c r="I657" s="498"/>
      <c r="J657" s="526" t="s">
        <v>302</v>
      </c>
      <c r="K657" s="100"/>
      <c r="L657" s="29"/>
      <c r="M657" s="82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</row>
    <row r="658" spans="1:36" s="18" customFormat="1" ht="24.75" customHeight="1">
      <c r="A658" s="498"/>
      <c r="B658" s="497"/>
      <c r="C658" s="497"/>
      <c r="D658" s="497" t="s">
        <v>6</v>
      </c>
      <c r="E658" s="485" t="s">
        <v>7</v>
      </c>
      <c r="F658" s="485" t="s">
        <v>8</v>
      </c>
      <c r="G658" s="485" t="s">
        <v>9</v>
      </c>
      <c r="H658" s="494" t="s">
        <v>10</v>
      </c>
      <c r="I658" s="527" t="s">
        <v>303</v>
      </c>
      <c r="J658" s="526"/>
      <c r="K658" s="95"/>
      <c r="L658" s="29"/>
      <c r="M658" s="82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</row>
    <row r="659" spans="1:36" s="18" customFormat="1" ht="24.75" customHeight="1">
      <c r="A659" s="498"/>
      <c r="B659" s="497"/>
      <c r="C659" s="497"/>
      <c r="D659" s="497"/>
      <c r="E659" s="485"/>
      <c r="F659" s="485"/>
      <c r="G659" s="485"/>
      <c r="H659" s="494"/>
      <c r="I659" s="527"/>
      <c r="J659" s="526"/>
      <c r="K659" s="95"/>
      <c r="L659" s="29"/>
      <c r="M659" s="82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</row>
    <row r="660" spans="1:14" s="18" customFormat="1" ht="24.75" customHeight="1">
      <c r="A660" s="510" t="s">
        <v>11</v>
      </c>
      <c r="B660" s="510"/>
      <c r="C660" s="510"/>
      <c r="D660" s="510"/>
      <c r="E660" s="36">
        <f>SUM(E661:E677)</f>
        <v>17.28</v>
      </c>
      <c r="F660" s="36">
        <f>SUM(F661:F677)</f>
        <v>21.45</v>
      </c>
      <c r="G660" s="36">
        <f>SUM(G661:G677)</f>
        <v>93.35</v>
      </c>
      <c r="H660" s="75">
        <f>SUM(H661:H677)</f>
        <v>701.8000000000001</v>
      </c>
      <c r="I660" s="192">
        <f>SUM(I661:I677)</f>
        <v>12.84</v>
      </c>
      <c r="J660" s="36"/>
      <c r="K660" s="95"/>
      <c r="L660" s="29"/>
      <c r="M660" s="82"/>
      <c r="N660" s="24"/>
    </row>
    <row r="661" spans="1:36" s="18" customFormat="1" ht="24.75" customHeight="1">
      <c r="A661" s="501" t="s">
        <v>530</v>
      </c>
      <c r="B661" s="501"/>
      <c r="C661" s="501"/>
      <c r="D661" s="113" t="s">
        <v>236</v>
      </c>
      <c r="E661" s="201">
        <v>6.4</v>
      </c>
      <c r="F661" s="201">
        <v>12.6</v>
      </c>
      <c r="G661" s="201">
        <v>47.7</v>
      </c>
      <c r="H661" s="202">
        <f>E661*4+F661*9+G661*4</f>
        <v>329.8</v>
      </c>
      <c r="I661" s="263">
        <v>0.7</v>
      </c>
      <c r="J661" s="293" t="s">
        <v>490</v>
      </c>
      <c r="K661" s="95"/>
      <c r="L661" s="29"/>
      <c r="M661" s="82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</row>
    <row r="662" spans="1:36" s="18" customFormat="1" ht="24.75" customHeight="1">
      <c r="A662" s="269" t="s">
        <v>35</v>
      </c>
      <c r="B662" s="272">
        <v>30</v>
      </c>
      <c r="C662" s="272">
        <v>30</v>
      </c>
      <c r="D662" s="271"/>
      <c r="E662" s="271"/>
      <c r="F662" s="271"/>
      <c r="G662" s="271"/>
      <c r="H662" s="271"/>
      <c r="I662" s="273"/>
      <c r="J662" s="273"/>
      <c r="K662" s="95"/>
      <c r="L662" s="29"/>
      <c r="M662" s="82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</row>
    <row r="663" spans="1:36" s="18" customFormat="1" ht="24.75" customHeight="1">
      <c r="A663" s="264" t="s">
        <v>148</v>
      </c>
      <c r="B663" s="167">
        <v>140</v>
      </c>
      <c r="C663" s="167">
        <v>140</v>
      </c>
      <c r="D663" s="271"/>
      <c r="E663" s="266"/>
      <c r="F663" s="266"/>
      <c r="G663" s="266"/>
      <c r="H663" s="167"/>
      <c r="I663" s="267"/>
      <c r="J663" s="267"/>
      <c r="K663" s="95"/>
      <c r="L663" s="29"/>
      <c r="M663" s="82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</row>
    <row r="664" spans="1:36" s="18" customFormat="1" ht="24.75" customHeight="1">
      <c r="A664" s="264" t="s">
        <v>108</v>
      </c>
      <c r="B664" s="167">
        <v>90</v>
      </c>
      <c r="C664" s="167">
        <v>90</v>
      </c>
      <c r="D664" s="266"/>
      <c r="E664" s="266"/>
      <c r="F664" s="266"/>
      <c r="G664" s="266"/>
      <c r="H664" s="167"/>
      <c r="I664" s="267"/>
      <c r="J664" s="267"/>
      <c r="K664" s="95"/>
      <c r="L664" s="29"/>
      <c r="M664" s="82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</row>
    <row r="665" spans="1:36" s="18" customFormat="1" ht="24.75" customHeight="1">
      <c r="A665" s="269" t="s">
        <v>156</v>
      </c>
      <c r="B665" s="272">
        <v>5</v>
      </c>
      <c r="C665" s="272">
        <v>5</v>
      </c>
      <c r="D665" s="271"/>
      <c r="E665" s="271"/>
      <c r="F665" s="271"/>
      <c r="G665" s="271"/>
      <c r="H665" s="271"/>
      <c r="I665" s="273"/>
      <c r="J665" s="273"/>
      <c r="K665" s="98"/>
      <c r="L665" s="29"/>
      <c r="M665" s="82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</row>
    <row r="666" spans="1:36" s="18" customFormat="1" ht="24.75" customHeight="1">
      <c r="A666" s="269" t="s">
        <v>149</v>
      </c>
      <c r="B666" s="271">
        <v>1.25</v>
      </c>
      <c r="C666" s="271">
        <v>1.25</v>
      </c>
      <c r="D666" s="271"/>
      <c r="E666" s="271"/>
      <c r="F666" s="268"/>
      <c r="G666" s="268"/>
      <c r="H666" s="419"/>
      <c r="I666" s="273"/>
      <c r="J666" s="273"/>
      <c r="K666" s="95"/>
      <c r="L666" s="29"/>
      <c r="M666" s="82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</row>
    <row r="667" spans="1:36" s="18" customFormat="1" ht="24.75" customHeight="1">
      <c r="A667" s="269" t="s">
        <v>65</v>
      </c>
      <c r="B667" s="272">
        <v>21</v>
      </c>
      <c r="C667" s="272">
        <v>20</v>
      </c>
      <c r="D667" s="271"/>
      <c r="E667" s="271"/>
      <c r="F667" s="268"/>
      <c r="G667" s="268"/>
      <c r="H667" s="419"/>
      <c r="I667" s="273"/>
      <c r="J667" s="273"/>
      <c r="K667" s="95"/>
      <c r="L667" s="29"/>
      <c r="M667" s="82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</row>
    <row r="668" spans="1:36" s="18" customFormat="1" ht="24.75" customHeight="1">
      <c r="A668" s="269" t="s">
        <v>27</v>
      </c>
      <c r="B668" s="270">
        <v>10</v>
      </c>
      <c r="C668" s="270">
        <v>10</v>
      </c>
      <c r="D668" s="270"/>
      <c r="E668" s="271"/>
      <c r="F668" s="271"/>
      <c r="G668" s="271"/>
      <c r="H668" s="272"/>
      <c r="I668" s="273"/>
      <c r="J668" s="273"/>
      <c r="K668" s="95"/>
      <c r="L668" s="29"/>
      <c r="M668" s="82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</row>
    <row r="669" spans="1:36" s="18" customFormat="1" ht="24.75" customHeight="1">
      <c r="A669" s="511" t="s">
        <v>249</v>
      </c>
      <c r="B669" s="511"/>
      <c r="C669" s="511"/>
      <c r="D669" s="113" t="s">
        <v>252</v>
      </c>
      <c r="E669" s="36">
        <v>5.4</v>
      </c>
      <c r="F669" s="36">
        <v>4.8</v>
      </c>
      <c r="G669" s="36">
        <v>11.4</v>
      </c>
      <c r="H669" s="75">
        <f>E669*4+F669*9+G669*4</f>
        <v>110.4</v>
      </c>
      <c r="I669" s="192">
        <v>0.14</v>
      </c>
      <c r="J669" s="192" t="s">
        <v>367</v>
      </c>
      <c r="K669" s="1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</row>
    <row r="670" spans="1:36" s="18" customFormat="1" ht="24.75" customHeight="1">
      <c r="A670" s="276" t="s">
        <v>348</v>
      </c>
      <c r="B670" s="270">
        <v>30</v>
      </c>
      <c r="C670" s="270">
        <v>30</v>
      </c>
      <c r="D670" s="113"/>
      <c r="E670" s="36"/>
      <c r="F670" s="36"/>
      <c r="G670" s="36"/>
      <c r="H670" s="36"/>
      <c r="I670" s="192"/>
      <c r="J670" s="36"/>
      <c r="K670" s="10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</row>
    <row r="671" spans="1:36" s="18" customFormat="1" ht="24.75" customHeight="1">
      <c r="A671" s="316" t="s">
        <v>50</v>
      </c>
      <c r="B671" s="270">
        <v>21</v>
      </c>
      <c r="C671" s="270">
        <v>20</v>
      </c>
      <c r="D671" s="113"/>
      <c r="E671" s="36"/>
      <c r="F671" s="36"/>
      <c r="G671" s="36"/>
      <c r="H671" s="75"/>
      <c r="I671" s="192"/>
      <c r="J671" s="192"/>
      <c r="K671" s="13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</row>
    <row r="672" spans="1:13" ht="24.75" customHeight="1">
      <c r="A672" s="501" t="s">
        <v>268</v>
      </c>
      <c r="B672" s="501"/>
      <c r="C672" s="501"/>
      <c r="D672" s="227">
        <v>40</v>
      </c>
      <c r="E672" s="201">
        <v>4.78</v>
      </c>
      <c r="F672" s="201">
        <v>4.05</v>
      </c>
      <c r="G672" s="201">
        <v>0.25</v>
      </c>
      <c r="H672" s="202">
        <v>63</v>
      </c>
      <c r="I672" s="192">
        <v>0</v>
      </c>
      <c r="J672" s="192" t="s">
        <v>374</v>
      </c>
      <c r="K672" s="15"/>
      <c r="L672" s="24"/>
      <c r="M672" s="24"/>
    </row>
    <row r="673" spans="1:36" s="18" customFormat="1" ht="24.75" customHeight="1">
      <c r="A673" s="262" t="s">
        <v>247</v>
      </c>
      <c r="B673" s="270"/>
      <c r="C673" s="270"/>
      <c r="D673" s="113" t="s">
        <v>204</v>
      </c>
      <c r="E673" s="36">
        <v>0.3</v>
      </c>
      <c r="F673" s="36">
        <v>0</v>
      </c>
      <c r="G673" s="36">
        <v>16</v>
      </c>
      <c r="H673" s="75">
        <v>125</v>
      </c>
      <c r="I673" s="192">
        <v>0</v>
      </c>
      <c r="J673" s="192" t="s">
        <v>344</v>
      </c>
      <c r="K673" s="1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</row>
    <row r="674" spans="1:36" s="18" customFormat="1" ht="24.75" customHeight="1">
      <c r="A674" s="269" t="s">
        <v>16</v>
      </c>
      <c r="B674" s="270">
        <v>0.4</v>
      </c>
      <c r="C674" s="270">
        <v>0.4</v>
      </c>
      <c r="D674" s="270"/>
      <c r="E674" s="271"/>
      <c r="F674" s="271"/>
      <c r="G674" s="271"/>
      <c r="H674" s="272"/>
      <c r="I674" s="273"/>
      <c r="J674" s="273"/>
      <c r="K674" s="15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</row>
    <row r="675" spans="1:36" s="18" customFormat="1" ht="24.75" customHeight="1">
      <c r="A675" s="269" t="s">
        <v>397</v>
      </c>
      <c r="B675" s="270">
        <v>20</v>
      </c>
      <c r="C675" s="270">
        <v>20</v>
      </c>
      <c r="D675" s="270"/>
      <c r="E675" s="271"/>
      <c r="F675" s="271"/>
      <c r="G675" s="271"/>
      <c r="H675" s="271"/>
      <c r="I675" s="273"/>
      <c r="J675" s="273"/>
      <c r="K675" s="10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</row>
    <row r="676" spans="1:36" s="18" customFormat="1" ht="24.75" customHeight="1">
      <c r="A676" s="484" t="s">
        <v>150</v>
      </c>
      <c r="B676" s="484"/>
      <c r="C676" s="484"/>
      <c r="D676" s="484"/>
      <c r="E676" s="484"/>
      <c r="F676" s="484"/>
      <c r="G676" s="484"/>
      <c r="H676" s="484"/>
      <c r="I676" s="484"/>
      <c r="J676" s="484"/>
      <c r="K676" s="1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</row>
    <row r="677" spans="1:11" s="7" customFormat="1" ht="42.75" customHeight="1">
      <c r="A677" s="492" t="s">
        <v>337</v>
      </c>
      <c r="B677" s="492"/>
      <c r="C677" s="492"/>
      <c r="D677" s="282">
        <v>180</v>
      </c>
      <c r="E677" s="201">
        <v>0.4</v>
      </c>
      <c r="F677" s="279">
        <v>0</v>
      </c>
      <c r="G677" s="201">
        <v>18</v>
      </c>
      <c r="H677" s="202">
        <f>E677*4+F677*9+G677*4</f>
        <v>73.6</v>
      </c>
      <c r="I677" s="263">
        <v>12</v>
      </c>
      <c r="J677" s="263"/>
      <c r="K677" s="13"/>
    </row>
    <row r="678" spans="1:13" ht="24.75" customHeight="1">
      <c r="A678" s="510" t="s">
        <v>18</v>
      </c>
      <c r="B678" s="510"/>
      <c r="C678" s="510"/>
      <c r="D678" s="510"/>
      <c r="E678" s="36">
        <f>E679+E684+E697+E705+E709+E710</f>
        <v>29.16</v>
      </c>
      <c r="F678" s="36">
        <f>F679+F684+F697+F705+F709+F710</f>
        <v>28.459999999999997</v>
      </c>
      <c r="G678" s="36">
        <f>G679+G684+G697+G705+G709+G710</f>
        <v>132.48</v>
      </c>
      <c r="H678" s="75">
        <f>H679+H684+H697+H705+H709+H710</f>
        <v>904.8800000000001</v>
      </c>
      <c r="I678" s="192">
        <f>I679+I684+I697+I705+I709+I710</f>
        <v>17</v>
      </c>
      <c r="J678" s="36"/>
      <c r="K678" s="14"/>
      <c r="L678" s="24"/>
      <c r="M678" s="24"/>
    </row>
    <row r="679" spans="1:36" s="18" customFormat="1" ht="24.75" customHeight="1">
      <c r="A679" s="511" t="s">
        <v>405</v>
      </c>
      <c r="B679" s="511"/>
      <c r="C679" s="511"/>
      <c r="D679" s="399">
        <v>80</v>
      </c>
      <c r="E679" s="201">
        <v>0.7</v>
      </c>
      <c r="F679" s="201">
        <v>5</v>
      </c>
      <c r="G679" s="201">
        <v>3</v>
      </c>
      <c r="H679" s="202">
        <f>E679*4+F679*9+G679*4</f>
        <v>59.8</v>
      </c>
      <c r="I679" s="263">
        <v>11.7</v>
      </c>
      <c r="J679" s="192" t="s">
        <v>404</v>
      </c>
      <c r="K679" s="1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</row>
    <row r="680" spans="1:13" ht="24.75" customHeight="1">
      <c r="A680" s="269" t="s">
        <v>158</v>
      </c>
      <c r="B680" s="272">
        <f>C680*1.02</f>
        <v>75.48</v>
      </c>
      <c r="C680" s="270">
        <v>74</v>
      </c>
      <c r="D680" s="272"/>
      <c r="E680" s="271"/>
      <c r="F680" s="271"/>
      <c r="G680" s="271"/>
      <c r="H680" s="271"/>
      <c r="I680" s="273"/>
      <c r="J680" s="273"/>
      <c r="K680" s="14"/>
      <c r="L680" s="24"/>
      <c r="M680" s="24"/>
    </row>
    <row r="681" spans="1:36" s="18" customFormat="1" ht="24.75" customHeight="1">
      <c r="A681" s="269" t="s">
        <v>213</v>
      </c>
      <c r="B681" s="272">
        <f>C681*1.05</f>
        <v>77.7</v>
      </c>
      <c r="C681" s="270">
        <v>74</v>
      </c>
      <c r="D681" s="272"/>
      <c r="E681" s="271"/>
      <c r="F681" s="271"/>
      <c r="G681" s="271"/>
      <c r="H681" s="272"/>
      <c r="I681" s="273"/>
      <c r="J681" s="273"/>
      <c r="K681" s="1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</row>
    <row r="682" spans="1:13" ht="24.75" customHeight="1">
      <c r="A682" s="285" t="s">
        <v>68</v>
      </c>
      <c r="B682" s="290">
        <f>C682*1.35</f>
        <v>4.050000000000001</v>
      </c>
      <c r="C682" s="286">
        <v>3</v>
      </c>
      <c r="D682" s="271"/>
      <c r="E682" s="271"/>
      <c r="F682" s="271"/>
      <c r="G682" s="271"/>
      <c r="H682" s="272"/>
      <c r="I682" s="273"/>
      <c r="J682" s="273"/>
      <c r="K682" s="14"/>
      <c r="L682" s="24"/>
      <c r="M682" s="24"/>
    </row>
    <row r="683" spans="1:13" ht="24.75" customHeight="1">
      <c r="A683" s="285" t="s">
        <v>20</v>
      </c>
      <c r="B683" s="290">
        <v>5</v>
      </c>
      <c r="C683" s="286">
        <v>5</v>
      </c>
      <c r="D683" s="272"/>
      <c r="E683" s="271"/>
      <c r="F683" s="271"/>
      <c r="G683" s="271"/>
      <c r="H683" s="272"/>
      <c r="I683" s="273"/>
      <c r="J683" s="273"/>
      <c r="K683" s="14"/>
      <c r="L683" s="24"/>
      <c r="M683" s="24"/>
    </row>
    <row r="684" spans="1:14" ht="24.75" customHeight="1">
      <c r="A684" s="501" t="s">
        <v>573</v>
      </c>
      <c r="B684" s="501"/>
      <c r="C684" s="501"/>
      <c r="D684" s="113" t="s">
        <v>295</v>
      </c>
      <c r="E684" s="201">
        <v>5.1</v>
      </c>
      <c r="F684" s="201">
        <v>6.34</v>
      </c>
      <c r="G684" s="201">
        <v>18.2</v>
      </c>
      <c r="H684" s="202">
        <v>153</v>
      </c>
      <c r="I684" s="263">
        <v>3.1</v>
      </c>
      <c r="J684" s="417" t="s">
        <v>368</v>
      </c>
      <c r="K684" s="14"/>
      <c r="L684" s="115" t="s">
        <v>47</v>
      </c>
      <c r="M684" s="78"/>
      <c r="N684" s="126"/>
    </row>
    <row r="685" spans="1:14" ht="24.75" customHeight="1">
      <c r="A685" s="270" t="s">
        <v>574</v>
      </c>
      <c r="B685" s="270">
        <v>19</v>
      </c>
      <c r="C685" s="270">
        <v>16</v>
      </c>
      <c r="D685" s="113"/>
      <c r="E685" s="201"/>
      <c r="F685" s="201"/>
      <c r="G685" s="201"/>
      <c r="H685" s="202"/>
      <c r="I685" s="263"/>
      <c r="J685" s="417"/>
      <c r="K685" s="14"/>
      <c r="L685" s="115"/>
      <c r="M685" s="78"/>
      <c r="N685" s="126"/>
    </row>
    <row r="686" spans="1:14" ht="24.75" customHeight="1" thickBot="1">
      <c r="A686" s="270" t="s">
        <v>547</v>
      </c>
      <c r="B686" s="270">
        <v>8</v>
      </c>
      <c r="C686" s="270">
        <v>8</v>
      </c>
      <c r="D686" s="113"/>
      <c r="E686" s="201"/>
      <c r="F686" s="201"/>
      <c r="G686" s="201"/>
      <c r="H686" s="202"/>
      <c r="I686" s="263"/>
      <c r="J686" s="417"/>
      <c r="K686" s="14"/>
      <c r="L686" s="115"/>
      <c r="M686" s="78"/>
      <c r="N686" s="126"/>
    </row>
    <row r="687" spans="1:36" s="18" customFormat="1" ht="24.75" customHeight="1">
      <c r="A687" s="280" t="s">
        <v>21</v>
      </c>
      <c r="B687" s="305">
        <f>C687*1.33</f>
        <v>119.7</v>
      </c>
      <c r="C687" s="281">
        <v>90</v>
      </c>
      <c r="D687" s="281"/>
      <c r="E687" s="283"/>
      <c r="F687" s="283"/>
      <c r="G687" s="283"/>
      <c r="H687" s="281"/>
      <c r="I687" s="284"/>
      <c r="J687" s="284"/>
      <c r="K687" s="14"/>
      <c r="L687" s="42" t="s">
        <v>70</v>
      </c>
      <c r="M687" s="78">
        <f>D815+D840</f>
        <v>120</v>
      </c>
      <c r="N687" s="126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</row>
    <row r="688" spans="1:36" s="18" customFormat="1" ht="24.75" customHeight="1">
      <c r="A688" s="280" t="s">
        <v>22</v>
      </c>
      <c r="B688" s="305">
        <f>C688*1.43</f>
        <v>128.7</v>
      </c>
      <c r="C688" s="281">
        <v>90</v>
      </c>
      <c r="D688" s="265"/>
      <c r="E688" s="266"/>
      <c r="F688" s="266"/>
      <c r="G688" s="266"/>
      <c r="H688" s="266"/>
      <c r="I688" s="267"/>
      <c r="J688" s="284"/>
      <c r="K688" s="14"/>
      <c r="L688" s="25" t="s">
        <v>80</v>
      </c>
      <c r="M688" s="162">
        <f>D814+D841+D769+B766+D817</f>
        <v>220</v>
      </c>
      <c r="N688" s="126">
        <f>D814+D841+D769</f>
        <v>100</v>
      </c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</row>
    <row r="689" spans="1:14" ht="24.75" customHeight="1">
      <c r="A689" s="280" t="s">
        <v>23</v>
      </c>
      <c r="B689" s="305">
        <f>C689*1.54</f>
        <v>138.6</v>
      </c>
      <c r="C689" s="281">
        <v>90</v>
      </c>
      <c r="D689" s="265"/>
      <c r="E689" s="266"/>
      <c r="F689" s="283"/>
      <c r="G689" s="283"/>
      <c r="H689" s="305"/>
      <c r="I689" s="284"/>
      <c r="J689" s="284"/>
      <c r="K689" s="14"/>
      <c r="L689" s="25" t="s">
        <v>81</v>
      </c>
      <c r="M689" s="78">
        <f>+B796</f>
        <v>2.5</v>
      </c>
      <c r="N689" s="126"/>
    </row>
    <row r="690" spans="1:14" ht="24.75" customHeight="1">
      <c r="A690" s="280" t="s">
        <v>24</v>
      </c>
      <c r="B690" s="305">
        <f>C690*1.67</f>
        <v>150.29999999999998</v>
      </c>
      <c r="C690" s="281">
        <v>90</v>
      </c>
      <c r="D690" s="265"/>
      <c r="E690" s="266"/>
      <c r="F690" s="283"/>
      <c r="G690" s="283"/>
      <c r="H690" s="305"/>
      <c r="I690" s="284"/>
      <c r="J690" s="284"/>
      <c r="K690" s="10"/>
      <c r="L690" s="26" t="s">
        <v>123</v>
      </c>
      <c r="M690" s="78">
        <f>+B808</f>
        <v>50</v>
      </c>
      <c r="N690" s="126"/>
    </row>
    <row r="691" spans="1:14" ht="24.75" customHeight="1">
      <c r="A691" s="280" t="s">
        <v>25</v>
      </c>
      <c r="B691" s="283">
        <f>C691*1.25</f>
        <v>17.5</v>
      </c>
      <c r="C691" s="281">
        <v>14</v>
      </c>
      <c r="D691" s="265"/>
      <c r="E691" s="266"/>
      <c r="F691" s="283"/>
      <c r="G691" s="283"/>
      <c r="H691" s="305"/>
      <c r="I691" s="284"/>
      <c r="J691" s="284"/>
      <c r="K691" s="10"/>
      <c r="L691" s="26" t="s">
        <v>320</v>
      </c>
      <c r="M691" s="78">
        <f>C754</f>
        <v>28</v>
      </c>
      <c r="N691" s="126"/>
    </row>
    <row r="692" spans="1:14" ht="24.75" customHeight="1">
      <c r="A692" s="280" t="s">
        <v>19</v>
      </c>
      <c r="B692" s="305">
        <f>C692*1.33</f>
        <v>18.62</v>
      </c>
      <c r="C692" s="281">
        <v>14</v>
      </c>
      <c r="D692" s="265"/>
      <c r="E692" s="266"/>
      <c r="F692" s="283"/>
      <c r="G692" s="283"/>
      <c r="H692" s="305"/>
      <c r="I692" s="284"/>
      <c r="J692" s="284"/>
      <c r="K692" s="10"/>
      <c r="L692" s="25" t="s">
        <v>137</v>
      </c>
      <c r="M692" s="78">
        <f>B783+B826</f>
        <v>312.55</v>
      </c>
      <c r="N692" s="84"/>
    </row>
    <row r="693" spans="1:14" ht="24.75" customHeight="1">
      <c r="A693" s="280" t="s">
        <v>26</v>
      </c>
      <c r="B693" s="305">
        <f>C693*1.19</f>
        <v>16.66</v>
      </c>
      <c r="C693" s="281">
        <v>14</v>
      </c>
      <c r="D693" s="265"/>
      <c r="E693" s="266"/>
      <c r="F693" s="283"/>
      <c r="G693" s="283"/>
      <c r="H693" s="305"/>
      <c r="I693" s="284"/>
      <c r="J693" s="284"/>
      <c r="K693" s="10"/>
      <c r="L693" s="25" t="s">
        <v>82</v>
      </c>
      <c r="M693" s="78">
        <f>B774+B776+B822+B823+B833+B834+B787+B789+B835+B767</f>
        <v>335.77</v>
      </c>
      <c r="N693" s="84"/>
    </row>
    <row r="694" spans="1:14" ht="24.75" customHeight="1">
      <c r="A694" s="264" t="s">
        <v>331</v>
      </c>
      <c r="B694" s="420">
        <f>C694*1.82</f>
        <v>38.22</v>
      </c>
      <c r="C694" s="265">
        <v>21</v>
      </c>
      <c r="D694" s="265"/>
      <c r="E694" s="266"/>
      <c r="F694" s="266"/>
      <c r="G694" s="266"/>
      <c r="H694" s="167"/>
      <c r="I694" s="250"/>
      <c r="J694" s="421"/>
      <c r="K694" s="10"/>
      <c r="L694" s="25" t="s">
        <v>83</v>
      </c>
      <c r="M694" s="78">
        <f>D771</f>
        <v>180</v>
      </c>
      <c r="N694" s="84"/>
    </row>
    <row r="695" spans="1:14" ht="24.75" customHeight="1">
      <c r="A695" s="280" t="s">
        <v>27</v>
      </c>
      <c r="B695" s="281">
        <v>8</v>
      </c>
      <c r="C695" s="281">
        <v>8</v>
      </c>
      <c r="D695" s="265"/>
      <c r="E695" s="266"/>
      <c r="F695" s="283"/>
      <c r="G695" s="283"/>
      <c r="H695" s="305"/>
      <c r="I695" s="284"/>
      <c r="J695" s="284"/>
      <c r="K695" s="10"/>
      <c r="L695" s="25" t="s">
        <v>124</v>
      </c>
      <c r="M695" s="78">
        <f>D819</f>
        <v>200</v>
      </c>
      <c r="N695" s="84"/>
    </row>
    <row r="696" spans="1:14" ht="24.75" customHeight="1">
      <c r="A696" s="264" t="s">
        <v>93</v>
      </c>
      <c r="B696" s="281">
        <v>5</v>
      </c>
      <c r="C696" s="281">
        <v>5</v>
      </c>
      <c r="D696" s="265"/>
      <c r="E696" s="283"/>
      <c r="F696" s="283"/>
      <c r="G696" s="283"/>
      <c r="H696" s="305"/>
      <c r="I696" s="284"/>
      <c r="J696" s="284"/>
      <c r="K696" s="14"/>
      <c r="L696" s="25" t="s">
        <v>84</v>
      </c>
      <c r="M696" s="78">
        <f>B812</f>
        <v>25</v>
      </c>
      <c r="N696" s="84">
        <f>B757+B762+B813+B839</f>
        <v>40</v>
      </c>
    </row>
    <row r="697" spans="1:14" ht="24.75" customHeight="1">
      <c r="A697" s="501" t="s">
        <v>442</v>
      </c>
      <c r="B697" s="501"/>
      <c r="C697" s="501"/>
      <c r="D697" s="113">
        <v>300</v>
      </c>
      <c r="E697" s="201">
        <v>12.8</v>
      </c>
      <c r="F697" s="201">
        <v>15.1</v>
      </c>
      <c r="G697" s="201">
        <v>40.2</v>
      </c>
      <c r="H697" s="202">
        <f>E697*4+F697*9+G697*4</f>
        <v>347.90000000000003</v>
      </c>
      <c r="I697" s="192">
        <v>0.6</v>
      </c>
      <c r="J697" s="344" t="s">
        <v>441</v>
      </c>
      <c r="K697" s="14"/>
      <c r="L697" s="195" t="s">
        <v>197</v>
      </c>
      <c r="N697" s="84"/>
    </row>
    <row r="698" spans="1:14" ht="24.75" customHeight="1">
      <c r="A698" s="366" t="s">
        <v>60</v>
      </c>
      <c r="B698" s="328">
        <f>C698*1.35</f>
        <v>106.65</v>
      </c>
      <c r="C698" s="265">
        <v>79</v>
      </c>
      <c r="D698" s="227"/>
      <c r="E698" s="201"/>
      <c r="F698" s="201"/>
      <c r="G698" s="201"/>
      <c r="H698" s="202"/>
      <c r="I698" s="309"/>
      <c r="J698" s="310"/>
      <c r="K698" s="14"/>
      <c r="L698" s="25" t="s">
        <v>125</v>
      </c>
      <c r="M698" s="78">
        <f>B760</f>
        <v>2.5</v>
      </c>
      <c r="N698" s="84"/>
    </row>
    <row r="699" spans="1:14" ht="24.75" customHeight="1">
      <c r="A699" s="366" t="s">
        <v>72</v>
      </c>
      <c r="B699" s="300">
        <f>C699*1.18</f>
        <v>93.22</v>
      </c>
      <c r="C699" s="265">
        <v>79</v>
      </c>
      <c r="D699" s="265"/>
      <c r="E699" s="266"/>
      <c r="F699" s="266"/>
      <c r="G699" s="266"/>
      <c r="H699" s="167"/>
      <c r="I699" s="309"/>
      <c r="J699" s="310"/>
      <c r="K699" s="14"/>
      <c r="L699" s="25" t="s">
        <v>86</v>
      </c>
      <c r="M699" s="78"/>
      <c r="N699" s="84"/>
    </row>
    <row r="700" spans="1:14" ht="24.75" customHeight="1">
      <c r="A700" s="285" t="s">
        <v>20</v>
      </c>
      <c r="B700" s="286">
        <v>10</v>
      </c>
      <c r="C700" s="281">
        <v>10</v>
      </c>
      <c r="D700" s="290"/>
      <c r="E700" s="287"/>
      <c r="F700" s="287"/>
      <c r="G700" s="287"/>
      <c r="H700" s="290"/>
      <c r="I700" s="288"/>
      <c r="J700" s="288"/>
      <c r="K700" s="14"/>
      <c r="L700" s="25" t="s">
        <v>136</v>
      </c>
      <c r="M700" s="78">
        <f>B792+B831</f>
        <v>186.44</v>
      </c>
      <c r="N700" s="84"/>
    </row>
    <row r="701" spans="1:14" ht="24.75" customHeight="1">
      <c r="A701" s="285" t="s">
        <v>155</v>
      </c>
      <c r="B701" s="286">
        <v>68</v>
      </c>
      <c r="C701" s="281">
        <v>68</v>
      </c>
      <c r="D701" s="290"/>
      <c r="E701" s="287"/>
      <c r="F701" s="287"/>
      <c r="G701" s="287"/>
      <c r="H701" s="290"/>
      <c r="I701" s="288"/>
      <c r="J701" s="288"/>
      <c r="K701" s="14"/>
      <c r="L701" s="195" t="s">
        <v>199</v>
      </c>
      <c r="N701" s="84"/>
    </row>
    <row r="702" spans="1:14" ht="24.75" customHeight="1">
      <c r="A702" s="285" t="s">
        <v>25</v>
      </c>
      <c r="B702" s="290">
        <f>C702*1.25</f>
        <v>62.5</v>
      </c>
      <c r="C702" s="286">
        <v>50</v>
      </c>
      <c r="D702" s="290"/>
      <c r="E702" s="287"/>
      <c r="F702" s="287"/>
      <c r="G702" s="287"/>
      <c r="H702" s="290"/>
      <c r="I702" s="288"/>
      <c r="J702" s="288"/>
      <c r="K702" s="14"/>
      <c r="L702" s="25" t="s">
        <v>87</v>
      </c>
      <c r="M702" s="78">
        <f>B781</f>
        <v>72</v>
      </c>
      <c r="N702" s="84"/>
    </row>
    <row r="703" spans="1:14" ht="24.75" customHeight="1">
      <c r="A703" s="285" t="s">
        <v>19</v>
      </c>
      <c r="B703" s="290">
        <f>C703*1.33</f>
        <v>66.5</v>
      </c>
      <c r="C703" s="286">
        <v>50</v>
      </c>
      <c r="D703" s="290"/>
      <c r="E703" s="287"/>
      <c r="F703" s="287"/>
      <c r="G703" s="287"/>
      <c r="H703" s="290"/>
      <c r="I703" s="288"/>
      <c r="J703" s="288"/>
      <c r="K703" s="14"/>
      <c r="L703" s="25" t="s">
        <v>127</v>
      </c>
      <c r="M703" s="78">
        <f>B765</f>
        <v>21</v>
      </c>
      <c r="N703" s="84"/>
    </row>
    <row r="704" spans="1:14" ht="24.75" customHeight="1">
      <c r="A704" s="285" t="s">
        <v>26</v>
      </c>
      <c r="B704" s="290">
        <f>C704*1.19</f>
        <v>17.849999999999998</v>
      </c>
      <c r="C704" s="286">
        <v>15</v>
      </c>
      <c r="D704" s="290"/>
      <c r="E704" s="287"/>
      <c r="F704" s="287"/>
      <c r="G704" s="287"/>
      <c r="H704" s="290"/>
      <c r="I704" s="288"/>
      <c r="J704" s="288"/>
      <c r="K704" s="14"/>
      <c r="L704" s="26" t="s">
        <v>128</v>
      </c>
      <c r="M704" s="78">
        <f>B755++B761</f>
        <v>305</v>
      </c>
      <c r="N704" s="84"/>
    </row>
    <row r="705" spans="1:36" s="3" customFormat="1" ht="24.75" customHeight="1">
      <c r="A705" s="501" t="s">
        <v>46</v>
      </c>
      <c r="B705" s="501"/>
      <c r="C705" s="501"/>
      <c r="D705" s="113">
        <v>200</v>
      </c>
      <c r="E705" s="36">
        <v>0.2</v>
      </c>
      <c r="F705" s="36">
        <v>0.2</v>
      </c>
      <c r="G705" s="36">
        <v>21.1</v>
      </c>
      <c r="H705" s="75">
        <f>E705*4+F705*9+G705*4</f>
        <v>87</v>
      </c>
      <c r="I705" s="192">
        <v>1.6</v>
      </c>
      <c r="J705" s="192" t="s">
        <v>369</v>
      </c>
      <c r="K705" s="95"/>
      <c r="L705" s="26"/>
      <c r="M705" s="78">
        <f>B843</f>
        <v>206</v>
      </c>
      <c r="N705" s="84">
        <f>B755+B761+B843</f>
        <v>511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s="3" customFormat="1" ht="24.75" customHeight="1">
      <c r="A706" s="298" t="s">
        <v>338</v>
      </c>
      <c r="B706" s="286">
        <f>C706*1.14</f>
        <v>45.599999999999994</v>
      </c>
      <c r="C706" s="286">
        <v>40</v>
      </c>
      <c r="D706" s="286"/>
      <c r="E706" s="287"/>
      <c r="F706" s="287"/>
      <c r="G706" s="287"/>
      <c r="H706" s="286"/>
      <c r="I706" s="288"/>
      <c r="J706" s="288"/>
      <c r="K706" s="14"/>
      <c r="L706" s="25" t="s">
        <v>88</v>
      </c>
      <c r="M706" s="78">
        <f>D763</f>
        <v>100</v>
      </c>
      <c r="N706" s="84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14" s="159" customFormat="1" ht="24.75" customHeight="1">
      <c r="A707" s="298" t="s">
        <v>339</v>
      </c>
      <c r="B707" s="286">
        <f>C707*1.11</f>
        <v>44.400000000000006</v>
      </c>
      <c r="C707" s="286">
        <v>40</v>
      </c>
      <c r="D707" s="286"/>
      <c r="E707" s="287"/>
      <c r="F707" s="287"/>
      <c r="G707" s="287"/>
      <c r="H707" s="286"/>
      <c r="I707" s="288"/>
      <c r="J707" s="288"/>
      <c r="K707" s="53"/>
      <c r="L707" s="25" t="s">
        <v>89</v>
      </c>
      <c r="M707" s="78">
        <f>B795</f>
        <v>12.5</v>
      </c>
      <c r="N707" s="84"/>
    </row>
    <row r="708" spans="1:36" s="3" customFormat="1" ht="24.75" customHeight="1">
      <c r="A708" s="285" t="s">
        <v>12</v>
      </c>
      <c r="B708" s="286">
        <v>15</v>
      </c>
      <c r="C708" s="286">
        <v>15</v>
      </c>
      <c r="D708" s="286"/>
      <c r="E708" s="287"/>
      <c r="F708" s="287"/>
      <c r="G708" s="287"/>
      <c r="H708" s="286"/>
      <c r="I708" s="288"/>
      <c r="J708" s="288"/>
      <c r="K708" s="69"/>
      <c r="L708" s="25" t="s">
        <v>132</v>
      </c>
      <c r="M708" s="78"/>
      <c r="N708" s="62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s="18" customFormat="1" ht="24.75" customHeight="1">
      <c r="A709" s="501" t="s">
        <v>267</v>
      </c>
      <c r="B709" s="501"/>
      <c r="C709" s="501"/>
      <c r="D709" s="113">
        <v>70</v>
      </c>
      <c r="E709" s="36">
        <v>5.74</v>
      </c>
      <c r="F709" s="36">
        <v>0.98</v>
      </c>
      <c r="G709" s="36">
        <v>26.6</v>
      </c>
      <c r="H709" s="75">
        <v>138.18</v>
      </c>
      <c r="I709" s="192">
        <v>0</v>
      </c>
      <c r="J709" s="192"/>
      <c r="K709" s="69"/>
      <c r="L709" s="25" t="s">
        <v>90</v>
      </c>
      <c r="M709" s="78">
        <f>B758+B793+B810+B788+B832</f>
        <v>34</v>
      </c>
      <c r="N709" s="84">
        <f>B758+B788+B810+B832</f>
        <v>24</v>
      </c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</row>
    <row r="710" spans="1:36" s="18" customFormat="1" ht="24.75" customHeight="1">
      <c r="A710" s="506" t="s">
        <v>70</v>
      </c>
      <c r="B710" s="506"/>
      <c r="C710" s="506"/>
      <c r="D710" s="227">
        <v>70</v>
      </c>
      <c r="E710" s="201">
        <v>4.62</v>
      </c>
      <c r="F710" s="201">
        <v>0.84</v>
      </c>
      <c r="G710" s="201">
        <v>23.38</v>
      </c>
      <c r="H710" s="202">
        <v>119</v>
      </c>
      <c r="I710" s="263">
        <v>0</v>
      </c>
      <c r="J710" s="263"/>
      <c r="K710" s="54"/>
      <c r="L710" s="25" t="s">
        <v>63</v>
      </c>
      <c r="M710" s="78">
        <f>B778</f>
        <v>5</v>
      </c>
      <c r="N710" s="84">
        <f>B778</f>
        <v>5</v>
      </c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</row>
    <row r="711" spans="1:36" s="4" customFormat="1" ht="24.75" customHeight="1" thickBot="1">
      <c r="A711" s="510" t="s">
        <v>59</v>
      </c>
      <c r="B711" s="510"/>
      <c r="C711" s="510"/>
      <c r="D711" s="510"/>
      <c r="E711" s="36">
        <f>E712+E714</f>
        <v>1.6</v>
      </c>
      <c r="F711" s="36">
        <f>F712+F714</f>
        <v>1.6</v>
      </c>
      <c r="G711" s="36">
        <f>G712+G714</f>
        <v>68.6</v>
      </c>
      <c r="H711" s="75">
        <f>H712+H714</f>
        <v>295.20000000000005</v>
      </c>
      <c r="I711" s="192">
        <f>I712+I714</f>
        <v>19</v>
      </c>
      <c r="J711" s="36"/>
      <c r="K711" s="98"/>
      <c r="L711" s="27" t="s">
        <v>91</v>
      </c>
      <c r="M711" s="80"/>
      <c r="N711" s="84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</row>
    <row r="712" spans="1:36" s="18" customFormat="1" ht="24.75" customHeight="1">
      <c r="A712" s="495" t="s">
        <v>563</v>
      </c>
      <c r="B712" s="495"/>
      <c r="C712" s="495"/>
      <c r="D712" s="282">
        <v>90</v>
      </c>
      <c r="E712" s="292">
        <v>1.5</v>
      </c>
      <c r="F712" s="292">
        <v>1.6</v>
      </c>
      <c r="G712" s="292">
        <v>46.6</v>
      </c>
      <c r="H712" s="75">
        <f>E712*4+F712*9+G712*4</f>
        <v>206.8</v>
      </c>
      <c r="I712" s="192">
        <v>0</v>
      </c>
      <c r="J712" s="192"/>
      <c r="K712" s="43"/>
      <c r="L712" s="152" t="s">
        <v>200</v>
      </c>
      <c r="M712" s="127"/>
      <c r="N712" s="8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</row>
    <row r="713" spans="1:14" s="108" customFormat="1" ht="34.5" customHeight="1">
      <c r="A713" s="513" t="s">
        <v>390</v>
      </c>
      <c r="B713" s="513"/>
      <c r="C713" s="513"/>
      <c r="D713" s="282"/>
      <c r="E713" s="292"/>
      <c r="F713" s="292"/>
      <c r="G713" s="292"/>
      <c r="H713" s="75"/>
      <c r="I713" s="192"/>
      <c r="J713" s="192"/>
      <c r="K713" s="43"/>
      <c r="L713" s="127" t="s">
        <v>205</v>
      </c>
      <c r="M713" s="155"/>
      <c r="N713" s="84"/>
    </row>
    <row r="714" spans="1:36" s="18" customFormat="1" ht="84" customHeight="1">
      <c r="A714" s="483" t="s">
        <v>487</v>
      </c>
      <c r="B714" s="483"/>
      <c r="C714" s="483"/>
      <c r="D714" s="227">
        <v>200</v>
      </c>
      <c r="E714" s="201">
        <v>0.1</v>
      </c>
      <c r="F714" s="201">
        <v>0</v>
      </c>
      <c r="G714" s="201">
        <v>22</v>
      </c>
      <c r="H714" s="202">
        <f>E714*4+F714*9+G714*4</f>
        <v>88.4</v>
      </c>
      <c r="I714" s="263">
        <v>19</v>
      </c>
      <c r="J714" s="292" t="s">
        <v>486</v>
      </c>
      <c r="K714" s="43"/>
      <c r="L714" s="29"/>
      <c r="M714" s="82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</row>
    <row r="715" spans="1:36" s="18" customFormat="1" ht="24.75" customHeight="1">
      <c r="A715" s="510" t="s">
        <v>30</v>
      </c>
      <c r="B715" s="510"/>
      <c r="C715" s="510"/>
      <c r="D715" s="510"/>
      <c r="E715" s="36">
        <f>SUM(E716:E745)</f>
        <v>30.64</v>
      </c>
      <c r="F715" s="36">
        <f>SUM(F716:F745)</f>
        <v>33.88</v>
      </c>
      <c r="G715" s="36">
        <f>SUM(G716:G745)</f>
        <v>77.6</v>
      </c>
      <c r="H715" s="75">
        <f>SUM(H716:H745)</f>
        <v>729.76</v>
      </c>
      <c r="I715" s="192">
        <f>SUM(I716:I745)</f>
        <v>50.29</v>
      </c>
      <c r="J715" s="36"/>
      <c r="K715" s="43"/>
      <c r="L715" s="29"/>
      <c r="M715" s="82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</row>
    <row r="716" spans="1:36" s="18" customFormat="1" ht="24.75" customHeight="1">
      <c r="A716" s="422" t="s">
        <v>219</v>
      </c>
      <c r="B716" s="290"/>
      <c r="C716" s="290"/>
      <c r="D716" s="423">
        <v>80</v>
      </c>
      <c r="E716" s="292">
        <v>0.8</v>
      </c>
      <c r="F716" s="292">
        <v>5</v>
      </c>
      <c r="G716" s="292">
        <v>2.4</v>
      </c>
      <c r="H716" s="75">
        <f>E716*4+F716*9+G716*4</f>
        <v>57.800000000000004</v>
      </c>
      <c r="I716" s="192">
        <v>13.72</v>
      </c>
      <c r="J716" s="192" t="s">
        <v>334</v>
      </c>
      <c r="K716" s="43"/>
      <c r="L716" s="29"/>
      <c r="M716" s="82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</row>
    <row r="717" spans="1:36" s="18" customFormat="1" ht="24.75" customHeight="1">
      <c r="A717" s="285" t="s">
        <v>120</v>
      </c>
      <c r="B717" s="290">
        <f>C717*1.02</f>
        <v>40.8</v>
      </c>
      <c r="C717" s="290">
        <v>40</v>
      </c>
      <c r="D717" s="286"/>
      <c r="E717" s="287"/>
      <c r="F717" s="287"/>
      <c r="G717" s="287"/>
      <c r="H717" s="290"/>
      <c r="I717" s="288"/>
      <c r="J717" s="288"/>
      <c r="K717" s="43"/>
      <c r="L717" s="29"/>
      <c r="M717" s="82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</row>
    <row r="718" spans="1:36" s="18" customFormat="1" ht="24.75" customHeight="1">
      <c r="A718" s="285" t="s">
        <v>215</v>
      </c>
      <c r="B718" s="290">
        <f>C718*1.18</f>
        <v>47.199999999999996</v>
      </c>
      <c r="C718" s="290">
        <v>40</v>
      </c>
      <c r="D718" s="286"/>
      <c r="E718" s="287"/>
      <c r="F718" s="287"/>
      <c r="G718" s="287"/>
      <c r="H718" s="290"/>
      <c r="I718" s="288"/>
      <c r="J718" s="288"/>
      <c r="K718" s="43"/>
      <c r="L718" s="29"/>
      <c r="M718" s="82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</row>
    <row r="719" spans="1:36" s="18" customFormat="1" ht="24.75" customHeight="1">
      <c r="A719" s="285" t="s">
        <v>158</v>
      </c>
      <c r="B719" s="290">
        <f>C719*1.02</f>
        <v>35.7</v>
      </c>
      <c r="C719" s="290">
        <v>35</v>
      </c>
      <c r="D719" s="286"/>
      <c r="E719" s="287"/>
      <c r="F719" s="287"/>
      <c r="G719" s="287"/>
      <c r="H719" s="290"/>
      <c r="I719" s="288"/>
      <c r="J719" s="288"/>
      <c r="K719" s="10"/>
      <c r="L719" s="29"/>
      <c r="M719" s="82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</row>
    <row r="720" spans="1:36" s="18" customFormat="1" ht="24.75" customHeight="1">
      <c r="A720" s="285" t="s">
        <v>213</v>
      </c>
      <c r="B720" s="290">
        <f>C720*1.05</f>
        <v>36.75</v>
      </c>
      <c r="C720" s="290">
        <v>35</v>
      </c>
      <c r="D720" s="286"/>
      <c r="E720" s="287"/>
      <c r="F720" s="287"/>
      <c r="G720" s="287"/>
      <c r="H720" s="290"/>
      <c r="I720" s="288"/>
      <c r="J720" s="288"/>
      <c r="K720" s="14"/>
      <c r="L720" s="29"/>
      <c r="M720" s="82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</row>
    <row r="721" spans="1:36" s="18" customFormat="1" ht="24.75" customHeight="1">
      <c r="A721" s="285" t="s">
        <v>216</v>
      </c>
      <c r="B721" s="290">
        <f>C721*1.33</f>
        <v>46.550000000000004</v>
      </c>
      <c r="C721" s="290">
        <v>35</v>
      </c>
      <c r="D721" s="286"/>
      <c r="E721" s="287"/>
      <c r="F721" s="287"/>
      <c r="G721" s="287"/>
      <c r="H721" s="290"/>
      <c r="I721" s="288"/>
      <c r="J721" s="288"/>
      <c r="K721" s="129"/>
      <c r="L721" s="29"/>
      <c r="M721" s="82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</row>
    <row r="722" spans="1:11" s="18" customFormat="1" ht="24.75" customHeight="1">
      <c r="A722" s="285" t="s">
        <v>20</v>
      </c>
      <c r="B722" s="290">
        <v>5</v>
      </c>
      <c r="C722" s="290">
        <v>5</v>
      </c>
      <c r="D722" s="286"/>
      <c r="E722" s="287"/>
      <c r="F722" s="287"/>
      <c r="G722" s="287"/>
      <c r="H722" s="290"/>
      <c r="I722" s="288"/>
      <c r="J722" s="288"/>
      <c r="K722" s="129"/>
    </row>
    <row r="723" spans="1:11" s="18" customFormat="1" ht="24.75" customHeight="1">
      <c r="A723" s="501" t="s">
        <v>478</v>
      </c>
      <c r="B723" s="501"/>
      <c r="C723" s="501"/>
      <c r="D723" s="113">
        <v>130</v>
      </c>
      <c r="E723" s="201">
        <v>16.4</v>
      </c>
      <c r="F723" s="201">
        <v>17.2</v>
      </c>
      <c r="G723" s="201">
        <v>0.5</v>
      </c>
      <c r="H723" s="202">
        <f>E723*4+F723*9+G723*4</f>
        <v>222.39999999999998</v>
      </c>
      <c r="I723" s="263">
        <v>1.3</v>
      </c>
      <c r="J723" s="344" t="s">
        <v>427</v>
      </c>
      <c r="K723" s="129"/>
    </row>
    <row r="724" spans="1:36" s="18" customFormat="1" ht="24.75" customHeight="1">
      <c r="A724" s="366" t="s">
        <v>51</v>
      </c>
      <c r="B724" s="328">
        <f>C724*1.12</f>
        <v>200.48000000000002</v>
      </c>
      <c r="C724" s="270">
        <v>179</v>
      </c>
      <c r="D724" s="270"/>
      <c r="E724" s="271"/>
      <c r="F724" s="271"/>
      <c r="G724" s="271"/>
      <c r="H724" s="270"/>
      <c r="I724" s="273"/>
      <c r="J724" s="388"/>
      <c r="K724" s="130"/>
      <c r="L724" s="29"/>
      <c r="M724" s="82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</row>
    <row r="725" spans="1:36" s="18" customFormat="1" ht="24.75" customHeight="1">
      <c r="A725" s="366" t="s">
        <v>425</v>
      </c>
      <c r="B725" s="328">
        <f>C725*1.054</f>
        <v>188.666</v>
      </c>
      <c r="C725" s="270">
        <v>179</v>
      </c>
      <c r="D725" s="270"/>
      <c r="E725" s="271"/>
      <c r="F725" s="271"/>
      <c r="G725" s="271"/>
      <c r="H725" s="272"/>
      <c r="I725" s="249"/>
      <c r="J725" s="310"/>
      <c r="K725" s="130"/>
      <c r="L725" s="29"/>
      <c r="M725" s="82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</row>
    <row r="726" spans="1:11" s="18" customFormat="1" ht="24.75" customHeight="1">
      <c r="A726" s="424" t="s">
        <v>426</v>
      </c>
      <c r="B726" s="328">
        <f>C726*1.12</f>
        <v>200.48000000000002</v>
      </c>
      <c r="C726" s="270">
        <v>179</v>
      </c>
      <c r="D726" s="270"/>
      <c r="E726" s="271"/>
      <c r="F726" s="271"/>
      <c r="G726" s="271"/>
      <c r="H726" s="272"/>
      <c r="I726" s="309"/>
      <c r="J726" s="310"/>
      <c r="K726" s="130"/>
    </row>
    <row r="727" spans="1:36" s="18" customFormat="1" ht="24.75" customHeight="1">
      <c r="A727" s="425" t="s">
        <v>93</v>
      </c>
      <c r="B727" s="265">
        <v>5</v>
      </c>
      <c r="C727" s="265">
        <v>5</v>
      </c>
      <c r="D727" s="265"/>
      <c r="E727" s="266"/>
      <c r="F727" s="266"/>
      <c r="G727" s="266"/>
      <c r="H727" s="167"/>
      <c r="I727" s="250"/>
      <c r="J727" s="400"/>
      <c r="K727" s="130"/>
      <c r="L727" s="29"/>
      <c r="M727" s="82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</row>
    <row r="728" spans="1:36" s="18" customFormat="1" ht="50.25" customHeight="1">
      <c r="A728" s="276" t="s">
        <v>265</v>
      </c>
      <c r="B728" s="270">
        <v>4</v>
      </c>
      <c r="C728" s="270">
        <v>4</v>
      </c>
      <c r="D728" s="270"/>
      <c r="E728" s="271"/>
      <c r="F728" s="271"/>
      <c r="G728" s="271"/>
      <c r="H728" s="272"/>
      <c r="I728" s="387"/>
      <c r="J728" s="388"/>
      <c r="K728" s="130"/>
      <c r="L728" s="29"/>
      <c r="M728" s="82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</row>
    <row r="729" spans="1:36" s="18" customFormat="1" ht="24.75" customHeight="1">
      <c r="A729" s="269" t="s">
        <v>116</v>
      </c>
      <c r="B729" s="272">
        <f>C729*1.28</f>
        <v>2.56</v>
      </c>
      <c r="C729" s="270">
        <v>2</v>
      </c>
      <c r="D729" s="270"/>
      <c r="E729" s="271"/>
      <c r="F729" s="271"/>
      <c r="G729" s="271"/>
      <c r="H729" s="272"/>
      <c r="I729" s="309"/>
      <c r="J729" s="310"/>
      <c r="K729" s="130"/>
      <c r="L729" s="29"/>
      <c r="M729" s="82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</row>
    <row r="730" spans="1:36" s="18" customFormat="1" ht="24.75" customHeight="1">
      <c r="A730" s="269" t="s">
        <v>20</v>
      </c>
      <c r="B730" s="270">
        <v>2</v>
      </c>
      <c r="C730" s="270">
        <v>2</v>
      </c>
      <c r="D730" s="270"/>
      <c r="E730" s="271"/>
      <c r="F730" s="271"/>
      <c r="G730" s="271"/>
      <c r="H730" s="272"/>
      <c r="I730" s="309"/>
      <c r="J730" s="310"/>
      <c r="K730" s="130"/>
      <c r="L730" s="29"/>
      <c r="M730" s="82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</row>
    <row r="731" spans="1:36" s="18" customFormat="1" ht="24.75" customHeight="1">
      <c r="A731" s="269" t="s">
        <v>27</v>
      </c>
      <c r="B731" s="270">
        <v>5</v>
      </c>
      <c r="C731" s="270">
        <v>5</v>
      </c>
      <c r="D731" s="270"/>
      <c r="E731" s="271"/>
      <c r="F731" s="271"/>
      <c r="G731" s="271"/>
      <c r="H731" s="272"/>
      <c r="I731" s="309"/>
      <c r="J731" s="310"/>
      <c r="K731" s="14"/>
      <c r="L731" s="29"/>
      <c r="M731" s="82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</row>
    <row r="732" spans="1:36" s="18" customFormat="1" ht="24.75" customHeight="1">
      <c r="A732" s="501" t="s">
        <v>48</v>
      </c>
      <c r="B732" s="501"/>
      <c r="C732" s="501"/>
      <c r="D732" s="113">
        <v>200</v>
      </c>
      <c r="E732" s="36">
        <v>4.3</v>
      </c>
      <c r="F732" s="36">
        <v>6</v>
      </c>
      <c r="G732" s="36">
        <v>28.8</v>
      </c>
      <c r="H732" s="75">
        <f>E732*4+F732*9+G732*4</f>
        <v>186.4</v>
      </c>
      <c r="I732" s="192">
        <v>33.9</v>
      </c>
      <c r="J732" s="263" t="s">
        <v>356</v>
      </c>
      <c r="K732" s="14"/>
      <c r="L732" s="29"/>
      <c r="M732" s="82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</row>
    <row r="733" spans="1:36" s="18" customFormat="1" ht="24.75" customHeight="1">
      <c r="A733" s="280" t="s">
        <v>21</v>
      </c>
      <c r="B733" s="290">
        <f>C733*1.33</f>
        <v>227.1230769230769</v>
      </c>
      <c r="C733" s="272">
        <v>170.76923076923075</v>
      </c>
      <c r="D733" s="281"/>
      <c r="E733" s="283"/>
      <c r="F733" s="283"/>
      <c r="G733" s="283"/>
      <c r="H733" s="281"/>
      <c r="I733" s="284"/>
      <c r="J733" s="284"/>
      <c r="K733" s="10"/>
      <c r="L733" s="29"/>
      <c r="M733" s="82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</row>
    <row r="734" spans="1:36" s="18" customFormat="1" ht="24.75" customHeight="1">
      <c r="A734" s="269" t="s">
        <v>22</v>
      </c>
      <c r="B734" s="290">
        <f>C734*1.43</f>
        <v>244.19999999999996</v>
      </c>
      <c r="C734" s="272">
        <v>170.76923076923075</v>
      </c>
      <c r="D734" s="272"/>
      <c r="E734" s="271"/>
      <c r="F734" s="271"/>
      <c r="G734" s="271"/>
      <c r="H734" s="272"/>
      <c r="I734" s="273"/>
      <c r="J734" s="273"/>
      <c r="K734" s="10"/>
      <c r="L734" s="29"/>
      <c r="M734" s="82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</row>
    <row r="735" spans="1:36" s="18" customFormat="1" ht="24.75" customHeight="1">
      <c r="A735" s="285" t="s">
        <v>23</v>
      </c>
      <c r="B735" s="290">
        <f>C735*1.54</f>
        <v>262.9846153846154</v>
      </c>
      <c r="C735" s="272">
        <v>170.76923076923075</v>
      </c>
      <c r="D735" s="272"/>
      <c r="E735" s="271"/>
      <c r="F735" s="271"/>
      <c r="G735" s="271"/>
      <c r="H735" s="272"/>
      <c r="I735" s="273"/>
      <c r="J735" s="273"/>
      <c r="K735" s="10"/>
      <c r="L735" s="29"/>
      <c r="M735" s="82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</row>
    <row r="736" spans="1:36" s="18" customFormat="1" ht="24.75" customHeight="1">
      <c r="A736" s="285" t="s">
        <v>24</v>
      </c>
      <c r="B736" s="290">
        <f>C736*1.67</f>
        <v>285.1846153846153</v>
      </c>
      <c r="C736" s="272">
        <v>170.76923076923075</v>
      </c>
      <c r="D736" s="272"/>
      <c r="E736" s="271"/>
      <c r="F736" s="271"/>
      <c r="G736" s="271"/>
      <c r="H736" s="272"/>
      <c r="I736" s="273"/>
      <c r="J736" s="273"/>
      <c r="K736" s="10"/>
      <c r="L736" s="29"/>
      <c r="M736" s="82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</row>
    <row r="737" spans="1:36" s="18" customFormat="1" ht="24.75" customHeight="1">
      <c r="A737" s="280" t="s">
        <v>148</v>
      </c>
      <c r="B737" s="167">
        <v>32</v>
      </c>
      <c r="C737" s="167">
        <v>32</v>
      </c>
      <c r="D737" s="167"/>
      <c r="E737" s="266"/>
      <c r="F737" s="266"/>
      <c r="G737" s="266"/>
      <c r="H737" s="167"/>
      <c r="I737" s="267"/>
      <c r="J737" s="267"/>
      <c r="K737" s="10"/>
      <c r="L737" s="29"/>
      <c r="M737" s="82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</row>
    <row r="738" spans="1:36" s="18" customFormat="1" ht="24.75" customHeight="1">
      <c r="A738" s="269" t="s">
        <v>27</v>
      </c>
      <c r="B738" s="272">
        <v>5</v>
      </c>
      <c r="C738" s="272">
        <v>5</v>
      </c>
      <c r="D738" s="272"/>
      <c r="E738" s="271"/>
      <c r="F738" s="271"/>
      <c r="G738" s="271"/>
      <c r="H738" s="272"/>
      <c r="I738" s="273"/>
      <c r="J738" s="273"/>
      <c r="K738" s="10"/>
      <c r="L738" s="29"/>
      <c r="M738" s="82"/>
      <c r="N738" s="8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</row>
    <row r="739" spans="1:36" s="18" customFormat="1" ht="24.75" customHeight="1">
      <c r="A739" s="501" t="s">
        <v>561</v>
      </c>
      <c r="B739" s="501"/>
      <c r="C739" s="501"/>
      <c r="D739" s="113">
        <v>200</v>
      </c>
      <c r="E739" s="36">
        <v>0</v>
      </c>
      <c r="F739" s="36">
        <v>0</v>
      </c>
      <c r="G739" s="36">
        <v>13.6</v>
      </c>
      <c r="H739" s="75">
        <f>E739*4+F739*9+G739*4</f>
        <v>54.4</v>
      </c>
      <c r="I739" s="192">
        <v>0</v>
      </c>
      <c r="J739" s="263" t="s">
        <v>344</v>
      </c>
      <c r="K739" s="10"/>
      <c r="L739" s="29"/>
      <c r="M739" s="82"/>
      <c r="N739" s="8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</row>
    <row r="740" spans="1:36" s="18" customFormat="1" ht="24.75" customHeight="1">
      <c r="A740" s="276" t="s">
        <v>562</v>
      </c>
      <c r="B740" s="270">
        <v>0.4</v>
      </c>
      <c r="C740" s="270">
        <v>0.4</v>
      </c>
      <c r="D740" s="270"/>
      <c r="E740" s="271"/>
      <c r="F740" s="271"/>
      <c r="G740" s="271"/>
      <c r="H740" s="272"/>
      <c r="I740" s="273"/>
      <c r="J740" s="273"/>
      <c r="K740" s="10"/>
      <c r="L740" s="29"/>
      <c r="M740" s="82"/>
      <c r="N740" s="8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</row>
    <row r="741" spans="1:14" ht="33" customHeight="1">
      <c r="A741" s="280" t="s">
        <v>12</v>
      </c>
      <c r="B741" s="281">
        <v>15</v>
      </c>
      <c r="C741" s="281">
        <v>15</v>
      </c>
      <c r="D741" s="281"/>
      <c r="E741" s="281"/>
      <c r="F741" s="281"/>
      <c r="G741" s="281"/>
      <c r="H741" s="281"/>
      <c r="I741" s="281"/>
      <c r="J741" s="411"/>
      <c r="K741" s="10"/>
      <c r="N741" s="84"/>
    </row>
    <row r="742" spans="1:36" s="18" customFormat="1" ht="24.75" customHeight="1">
      <c r="A742" s="506" t="s">
        <v>70</v>
      </c>
      <c r="B742" s="506"/>
      <c r="C742" s="506"/>
      <c r="D742" s="227">
        <v>50</v>
      </c>
      <c r="E742" s="201">
        <v>3.3</v>
      </c>
      <c r="F742" s="201">
        <v>0.6</v>
      </c>
      <c r="G742" s="201">
        <v>16.7</v>
      </c>
      <c r="H742" s="202">
        <v>85.39999999999999</v>
      </c>
      <c r="I742" s="263">
        <v>0</v>
      </c>
      <c r="J742" s="263"/>
      <c r="K742" s="14"/>
      <c r="L742" s="29"/>
      <c r="M742" s="82"/>
      <c r="N742" s="8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</row>
    <row r="743" spans="1:36" s="18" customFormat="1" ht="24.75" customHeight="1">
      <c r="A743" s="501" t="s">
        <v>267</v>
      </c>
      <c r="B743" s="501"/>
      <c r="C743" s="501"/>
      <c r="D743" s="113">
        <v>20</v>
      </c>
      <c r="E743" s="36">
        <v>1.6399999999999997</v>
      </c>
      <c r="F743" s="36">
        <v>0.2800000000000001</v>
      </c>
      <c r="G743" s="36">
        <v>7.6</v>
      </c>
      <c r="H743" s="75">
        <v>31.36</v>
      </c>
      <c r="I743" s="192">
        <v>0</v>
      </c>
      <c r="J743" s="192"/>
      <c r="K743" s="14"/>
      <c r="L743" s="29"/>
      <c r="M743" s="540" t="s">
        <v>14</v>
      </c>
      <c r="N743" s="540"/>
      <c r="O743" s="540"/>
      <c r="P743" s="31" t="s">
        <v>15</v>
      </c>
      <c r="Q743" s="34">
        <v>0.2</v>
      </c>
      <c r="R743" s="34">
        <v>0</v>
      </c>
      <c r="S743" s="34">
        <v>15.3</v>
      </c>
      <c r="T743" s="35">
        <v>58</v>
      </c>
      <c r="U743" s="186">
        <v>0.8</v>
      </c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</row>
    <row r="744" spans="1:21" ht="24.75" customHeight="1">
      <c r="A744" s="499" t="s">
        <v>220</v>
      </c>
      <c r="B744" s="500"/>
      <c r="C744" s="500"/>
      <c r="D744" s="500"/>
      <c r="E744" s="500"/>
      <c r="F744" s="500"/>
      <c r="G744" s="500"/>
      <c r="H744" s="500"/>
      <c r="I744" s="500"/>
      <c r="J744" s="512"/>
      <c r="K744" s="14"/>
      <c r="M744" s="93" t="s">
        <v>16</v>
      </c>
      <c r="N744" s="16">
        <v>0.4</v>
      </c>
      <c r="O744" s="16">
        <v>0.4</v>
      </c>
      <c r="P744" s="16"/>
      <c r="Q744" s="37"/>
      <c r="R744" s="37"/>
      <c r="S744" s="37"/>
      <c r="T744" s="32"/>
      <c r="U744" s="187"/>
    </row>
    <row r="745" spans="1:21" ht="39.75" customHeight="1">
      <c r="A745" s="332" t="s">
        <v>246</v>
      </c>
      <c r="B745" s="265">
        <v>206</v>
      </c>
      <c r="C745" s="281">
        <v>200</v>
      </c>
      <c r="D745" s="227">
        <v>200</v>
      </c>
      <c r="E745" s="201">
        <v>4.2</v>
      </c>
      <c r="F745" s="201">
        <v>4.8</v>
      </c>
      <c r="G745" s="201">
        <v>8</v>
      </c>
      <c r="H745" s="202">
        <f>E745*4+F745*9+G745*4</f>
        <v>92</v>
      </c>
      <c r="I745" s="263">
        <v>1.37</v>
      </c>
      <c r="J745" s="263" t="s">
        <v>364</v>
      </c>
      <c r="K745" s="14"/>
      <c r="M745" s="94" t="s">
        <v>12</v>
      </c>
      <c r="N745" s="16">
        <v>15</v>
      </c>
      <c r="O745" s="16">
        <v>15</v>
      </c>
      <c r="P745" s="16"/>
      <c r="Q745" s="37"/>
      <c r="R745" s="37"/>
      <c r="S745" s="37"/>
      <c r="T745" s="32"/>
      <c r="U745" s="187"/>
    </row>
    <row r="746" spans="1:21" ht="24.75" customHeight="1">
      <c r="A746" s="482" t="s">
        <v>141</v>
      </c>
      <c r="B746" s="482"/>
      <c r="C746" s="482"/>
      <c r="D746" s="482"/>
      <c r="E746" s="348">
        <f>E744+E715+E711+E678+E660+E676</f>
        <v>78.68</v>
      </c>
      <c r="F746" s="384">
        <f>F744+F715+F711+F678+F660+F676</f>
        <v>85.39</v>
      </c>
      <c r="G746" s="334">
        <f>G744+G715+G711+G678+G660+G676</f>
        <v>372.03</v>
      </c>
      <c r="H746" s="352">
        <f>H744+H715+H711+H678+H660+H676</f>
        <v>2631.6400000000003</v>
      </c>
      <c r="I746" s="386">
        <f>I744+I715+I711+I678+I660+I676</f>
        <v>99.13</v>
      </c>
      <c r="J746" s="334"/>
      <c r="K746" s="10"/>
      <c r="M746" s="94" t="s">
        <v>17</v>
      </c>
      <c r="N746" s="16">
        <v>6</v>
      </c>
      <c r="O746" s="16">
        <v>5</v>
      </c>
      <c r="P746" s="16"/>
      <c r="Q746" s="37"/>
      <c r="R746" s="37"/>
      <c r="S746" s="37"/>
      <c r="T746" s="32"/>
      <c r="U746" s="187"/>
    </row>
    <row r="747" spans="1:11" ht="24.75" customHeight="1">
      <c r="A747" s="489" t="s">
        <v>0</v>
      </c>
      <c r="B747" s="490"/>
      <c r="C747" s="490"/>
      <c r="D747" s="490"/>
      <c r="E747" s="490"/>
      <c r="F747" s="490"/>
      <c r="G747" s="490"/>
      <c r="H747" s="490"/>
      <c r="I747" s="490"/>
      <c r="J747" s="491"/>
      <c r="K747" s="14"/>
    </row>
    <row r="748" spans="1:36" s="18" customFormat="1" ht="24.75" customHeight="1">
      <c r="A748" s="486" t="s">
        <v>47</v>
      </c>
      <c r="B748" s="487"/>
      <c r="C748" s="487"/>
      <c r="D748" s="487"/>
      <c r="E748" s="487"/>
      <c r="F748" s="487"/>
      <c r="G748" s="487"/>
      <c r="H748" s="487"/>
      <c r="I748" s="487"/>
      <c r="J748" s="488"/>
      <c r="K748" s="14"/>
      <c r="L748" s="29"/>
      <c r="M748" s="82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</row>
    <row r="749" spans="1:36" s="18" customFormat="1" ht="24.75" customHeight="1">
      <c r="A749" s="498" t="s">
        <v>2</v>
      </c>
      <c r="B749" s="497" t="s">
        <v>3</v>
      </c>
      <c r="C749" s="497" t="s">
        <v>4</v>
      </c>
      <c r="D749" s="498" t="s">
        <v>5</v>
      </c>
      <c r="E749" s="498"/>
      <c r="F749" s="498"/>
      <c r="G749" s="498"/>
      <c r="H749" s="498"/>
      <c r="I749" s="498"/>
      <c r="J749" s="526" t="s">
        <v>302</v>
      </c>
      <c r="K749" s="10"/>
      <c r="L749" s="29"/>
      <c r="M749" s="82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</row>
    <row r="750" spans="1:36" s="18" customFormat="1" ht="24.75" customHeight="1">
      <c r="A750" s="498"/>
      <c r="B750" s="497"/>
      <c r="C750" s="497"/>
      <c r="D750" s="497" t="s">
        <v>6</v>
      </c>
      <c r="E750" s="485" t="s">
        <v>7</v>
      </c>
      <c r="F750" s="485" t="s">
        <v>8</v>
      </c>
      <c r="G750" s="485" t="s">
        <v>9</v>
      </c>
      <c r="H750" s="494" t="s">
        <v>10</v>
      </c>
      <c r="I750" s="527" t="s">
        <v>303</v>
      </c>
      <c r="J750" s="526"/>
      <c r="K750" s="1"/>
      <c r="L750" s="29"/>
      <c r="M750" s="82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</row>
    <row r="751" spans="1:36" s="18" customFormat="1" ht="24.75" customHeight="1">
      <c r="A751" s="498"/>
      <c r="B751" s="497"/>
      <c r="C751" s="497"/>
      <c r="D751" s="497"/>
      <c r="E751" s="485"/>
      <c r="F751" s="485"/>
      <c r="G751" s="485"/>
      <c r="H751" s="494"/>
      <c r="I751" s="527"/>
      <c r="J751" s="526"/>
      <c r="K751" s="14"/>
      <c r="L751" s="29"/>
      <c r="M751" s="82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</row>
    <row r="752" spans="1:36" s="18" customFormat="1" ht="24.75" customHeight="1">
      <c r="A752" s="510" t="s">
        <v>11</v>
      </c>
      <c r="B752" s="510"/>
      <c r="C752" s="510"/>
      <c r="D752" s="510"/>
      <c r="E752" s="36">
        <f>SUM(E753:E771)</f>
        <v>19.139999999999997</v>
      </c>
      <c r="F752" s="36">
        <f>SUM(F753:F771)</f>
        <v>27.480000000000004</v>
      </c>
      <c r="G752" s="36">
        <f>SUM(G753:G771)</f>
        <v>97.39999999999999</v>
      </c>
      <c r="H752" s="75">
        <f>SUM(H753:H771)</f>
        <v>713.48</v>
      </c>
      <c r="I752" s="192">
        <f>SUM(I753:I771)</f>
        <v>19.07</v>
      </c>
      <c r="J752" s="36"/>
      <c r="K752" s="14"/>
      <c r="L752" s="29"/>
      <c r="M752" s="82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</row>
    <row r="753" spans="1:36" s="18" customFormat="1" ht="24.75" customHeight="1">
      <c r="A753" s="501" t="s">
        <v>323</v>
      </c>
      <c r="B753" s="501"/>
      <c r="C753" s="501"/>
      <c r="D753" s="113">
        <v>350</v>
      </c>
      <c r="E753" s="201">
        <v>6.9</v>
      </c>
      <c r="F753" s="201">
        <v>8</v>
      </c>
      <c r="G753" s="201">
        <v>27.7</v>
      </c>
      <c r="H753" s="202">
        <f>E753*4+F753*9+G753*4</f>
        <v>210.39999999999998</v>
      </c>
      <c r="I753" s="263">
        <v>0.9</v>
      </c>
      <c r="J753" s="192" t="s">
        <v>324</v>
      </c>
      <c r="K753" s="14"/>
      <c r="L753" s="29"/>
      <c r="M753" s="82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</row>
    <row r="754" spans="1:11" ht="24.75" customHeight="1">
      <c r="A754" s="269" t="s">
        <v>105</v>
      </c>
      <c r="B754" s="270">
        <v>28</v>
      </c>
      <c r="C754" s="270">
        <v>28</v>
      </c>
      <c r="D754" s="113"/>
      <c r="E754" s="36"/>
      <c r="F754" s="36"/>
      <c r="G754" s="36"/>
      <c r="H754" s="36"/>
      <c r="I754" s="36"/>
      <c r="J754" s="192"/>
      <c r="K754" s="10"/>
    </row>
    <row r="755" spans="1:36" s="18" customFormat="1" ht="24.75" customHeight="1">
      <c r="A755" s="280" t="s">
        <v>148</v>
      </c>
      <c r="B755" s="167">
        <v>175</v>
      </c>
      <c r="C755" s="167">
        <v>175</v>
      </c>
      <c r="D755" s="113"/>
      <c r="E755" s="201"/>
      <c r="F755" s="201"/>
      <c r="G755" s="201"/>
      <c r="H755" s="202"/>
      <c r="I755" s="263"/>
      <c r="J755" s="263"/>
      <c r="K755" s="14"/>
      <c r="L755" s="29"/>
      <c r="M755" s="82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</row>
    <row r="756" spans="1:36" s="18" customFormat="1" ht="24.75" customHeight="1">
      <c r="A756" s="280" t="s">
        <v>108</v>
      </c>
      <c r="B756" s="167">
        <v>147</v>
      </c>
      <c r="C756" s="167">
        <v>147</v>
      </c>
      <c r="D756" s="113"/>
      <c r="E756" s="201"/>
      <c r="F756" s="201"/>
      <c r="G756" s="201"/>
      <c r="H756" s="202"/>
      <c r="I756" s="263"/>
      <c r="J756" s="263"/>
      <c r="K756" s="14"/>
      <c r="L756" s="29"/>
      <c r="M756" s="82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</row>
    <row r="757" spans="1:36" s="18" customFormat="1" ht="24.75" customHeight="1">
      <c r="A757" s="285" t="s">
        <v>12</v>
      </c>
      <c r="B757" s="272">
        <v>3</v>
      </c>
      <c r="C757" s="272">
        <v>3</v>
      </c>
      <c r="D757" s="113"/>
      <c r="E757" s="36"/>
      <c r="F757" s="36"/>
      <c r="G757" s="36"/>
      <c r="H757" s="75"/>
      <c r="I757" s="192"/>
      <c r="J757" s="192"/>
      <c r="K757" s="14"/>
      <c r="L757" s="29"/>
      <c r="M757" s="82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</row>
    <row r="758" spans="1:36" s="18" customFormat="1" ht="24.75" customHeight="1">
      <c r="A758" s="269" t="s">
        <v>27</v>
      </c>
      <c r="B758" s="270">
        <v>3</v>
      </c>
      <c r="C758" s="270">
        <v>3</v>
      </c>
      <c r="D758" s="113"/>
      <c r="E758" s="36"/>
      <c r="F758" s="271"/>
      <c r="G758" s="271"/>
      <c r="H758" s="272"/>
      <c r="I758" s="273"/>
      <c r="J758" s="273"/>
      <c r="K758" s="14"/>
      <c r="L758" s="29"/>
      <c r="M758" s="82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</row>
    <row r="759" spans="1:36" s="3" customFormat="1" ht="24.75" customHeight="1">
      <c r="A759" s="506" t="s">
        <v>177</v>
      </c>
      <c r="B759" s="506"/>
      <c r="C759" s="506"/>
      <c r="D759" s="227">
        <v>200</v>
      </c>
      <c r="E759" s="201">
        <v>3.1</v>
      </c>
      <c r="F759" s="201">
        <v>2.9</v>
      </c>
      <c r="G759" s="201">
        <v>21.4</v>
      </c>
      <c r="H759" s="75">
        <f>E759*4+F759*9+G759*4</f>
        <v>124.1</v>
      </c>
      <c r="I759" s="263">
        <v>0.78</v>
      </c>
      <c r="J759" s="263" t="s">
        <v>357</v>
      </c>
      <c r="K759" s="14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s="18" customFormat="1" ht="24.75" customHeight="1">
      <c r="A760" s="269" t="s">
        <v>102</v>
      </c>
      <c r="B760" s="270">
        <v>2.5</v>
      </c>
      <c r="C760" s="270">
        <v>2.5</v>
      </c>
      <c r="D760" s="270"/>
      <c r="E760" s="271"/>
      <c r="F760" s="271"/>
      <c r="G760" s="271"/>
      <c r="H760" s="272"/>
      <c r="I760" s="273"/>
      <c r="J760" s="273"/>
      <c r="K760" s="14"/>
      <c r="L760" s="29"/>
      <c r="M760" s="82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</row>
    <row r="761" spans="1:36" s="18" customFormat="1" ht="24.75" customHeight="1">
      <c r="A761" s="280" t="s">
        <v>148</v>
      </c>
      <c r="B761" s="265">
        <v>130</v>
      </c>
      <c r="C761" s="265">
        <v>130</v>
      </c>
      <c r="D761" s="265"/>
      <c r="E761" s="266"/>
      <c r="F761" s="266"/>
      <c r="G761" s="266"/>
      <c r="H761" s="266"/>
      <c r="I761" s="267"/>
      <c r="J761" s="267"/>
      <c r="K761" s="14"/>
      <c r="L761" s="29"/>
      <c r="M761" s="82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</row>
    <row r="762" spans="1:36" s="18" customFormat="1" ht="24.75" customHeight="1">
      <c r="A762" s="285" t="s">
        <v>12</v>
      </c>
      <c r="B762" s="270">
        <v>15</v>
      </c>
      <c r="C762" s="270">
        <v>15</v>
      </c>
      <c r="D762" s="265"/>
      <c r="E762" s="266"/>
      <c r="F762" s="266"/>
      <c r="G762" s="271"/>
      <c r="H762" s="271"/>
      <c r="I762" s="273"/>
      <c r="J762" s="273"/>
      <c r="K762" s="14"/>
      <c r="L762" s="29"/>
      <c r="M762" s="82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</row>
    <row r="763" spans="1:36" s="18" customFormat="1" ht="62.25" customHeight="1">
      <c r="A763" s="322" t="s">
        <v>521</v>
      </c>
      <c r="B763" s="286">
        <v>100</v>
      </c>
      <c r="C763" s="286">
        <v>100</v>
      </c>
      <c r="D763" s="278">
        <v>100</v>
      </c>
      <c r="E763" s="279">
        <v>3.2</v>
      </c>
      <c r="F763" s="292">
        <v>5.4</v>
      </c>
      <c r="G763" s="292">
        <v>10.5</v>
      </c>
      <c r="H763" s="75">
        <f>E763*4+F763*9+G763*4</f>
        <v>103.4</v>
      </c>
      <c r="I763" s="192">
        <v>0.49</v>
      </c>
      <c r="J763" s="192"/>
      <c r="K763" s="95"/>
      <c r="L763" s="29"/>
      <c r="M763" s="82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</row>
    <row r="764" spans="1:11" ht="24.75" customHeight="1">
      <c r="A764" s="313" t="s">
        <v>378</v>
      </c>
      <c r="B764" s="265"/>
      <c r="C764" s="265"/>
      <c r="D764" s="227" t="s">
        <v>377</v>
      </c>
      <c r="E764" s="201">
        <v>3.9</v>
      </c>
      <c r="F764" s="201">
        <v>10.9</v>
      </c>
      <c r="G764" s="201">
        <v>12.2</v>
      </c>
      <c r="H764" s="202">
        <f>E764*4+F764*9+G764*4</f>
        <v>162.5</v>
      </c>
      <c r="I764" s="263">
        <v>4.9</v>
      </c>
      <c r="J764" s="263" t="s">
        <v>379</v>
      </c>
      <c r="K764" s="14"/>
    </row>
    <row r="765" spans="1:11" s="108" customFormat="1" ht="24.75" customHeight="1">
      <c r="A765" s="264" t="s">
        <v>322</v>
      </c>
      <c r="B765" s="265">
        <v>21</v>
      </c>
      <c r="C765" s="265">
        <v>20</v>
      </c>
      <c r="D765" s="265"/>
      <c r="E765" s="266"/>
      <c r="F765" s="266"/>
      <c r="G765" s="266"/>
      <c r="H765" s="266"/>
      <c r="I765" s="267"/>
      <c r="J765" s="267"/>
      <c r="K765" s="14"/>
    </row>
    <row r="766" spans="1:36" s="18" customFormat="1" ht="24.75" customHeight="1">
      <c r="A766" s="264" t="s">
        <v>36</v>
      </c>
      <c r="B766" s="265">
        <v>30</v>
      </c>
      <c r="C766" s="265">
        <v>30</v>
      </c>
      <c r="D766" s="265"/>
      <c r="E766" s="266"/>
      <c r="F766" s="266"/>
      <c r="G766" s="266"/>
      <c r="H766" s="266"/>
      <c r="I766" s="267"/>
      <c r="J766" s="267"/>
      <c r="K766" s="14"/>
      <c r="L766" s="29"/>
      <c r="M766" s="82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</row>
    <row r="767" spans="1:11" ht="24.75" customHeight="1">
      <c r="A767" s="264" t="s">
        <v>375</v>
      </c>
      <c r="B767" s="265">
        <f>C767*1.02</f>
        <v>20.4</v>
      </c>
      <c r="C767" s="265">
        <v>20</v>
      </c>
      <c r="D767" s="265"/>
      <c r="E767" s="266"/>
      <c r="F767" s="266"/>
      <c r="G767" s="266"/>
      <c r="H767" s="266"/>
      <c r="I767" s="267"/>
      <c r="J767" s="267"/>
      <c r="K767" s="95"/>
    </row>
    <row r="768" spans="1:36" s="18" customFormat="1" ht="24.75" customHeight="1">
      <c r="A768" s="264" t="s">
        <v>376</v>
      </c>
      <c r="B768" s="265">
        <f>C768*1.18</f>
        <v>23.599999999999998</v>
      </c>
      <c r="C768" s="265">
        <v>20</v>
      </c>
      <c r="D768" s="265"/>
      <c r="E768" s="266"/>
      <c r="F768" s="266"/>
      <c r="G768" s="266"/>
      <c r="H768" s="266"/>
      <c r="I768" s="267"/>
      <c r="J768" s="267"/>
      <c r="K768" s="14"/>
      <c r="L768" s="29"/>
      <c r="M768" s="82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</row>
    <row r="769" spans="1:13" s="108" customFormat="1" ht="24.75" customHeight="1">
      <c r="A769" s="501" t="s">
        <v>267</v>
      </c>
      <c r="B769" s="501"/>
      <c r="C769" s="501"/>
      <c r="D769" s="113">
        <v>20</v>
      </c>
      <c r="E769" s="36">
        <v>1.64</v>
      </c>
      <c r="F769" s="36">
        <v>0.28</v>
      </c>
      <c r="G769" s="36">
        <v>7.6</v>
      </c>
      <c r="H769" s="75">
        <v>39.48</v>
      </c>
      <c r="I769" s="192">
        <v>0</v>
      </c>
      <c r="J769" s="192"/>
      <c r="K769" s="14"/>
      <c r="L769" s="96"/>
      <c r="M769" s="107"/>
    </row>
    <row r="770" spans="1:13" ht="24.75" customHeight="1">
      <c r="A770" s="510" t="s">
        <v>150</v>
      </c>
      <c r="B770" s="510"/>
      <c r="C770" s="510"/>
      <c r="D770" s="510"/>
      <c r="E770" s="36"/>
      <c r="F770" s="36"/>
      <c r="G770" s="36"/>
      <c r="H770" s="75"/>
      <c r="I770" s="192"/>
      <c r="J770" s="192"/>
      <c r="K770" s="95"/>
      <c r="L770" s="24"/>
      <c r="M770" s="24"/>
    </row>
    <row r="771" spans="1:36" s="2" customFormat="1" ht="38.25" customHeight="1">
      <c r="A771" s="492" t="s">
        <v>337</v>
      </c>
      <c r="B771" s="492"/>
      <c r="C771" s="492"/>
      <c r="D771" s="282">
        <v>180</v>
      </c>
      <c r="E771" s="201">
        <v>0.4</v>
      </c>
      <c r="F771" s="279">
        <v>0</v>
      </c>
      <c r="G771" s="201">
        <v>18</v>
      </c>
      <c r="H771" s="202">
        <f>E771*4+F771*9+G771*4</f>
        <v>73.6</v>
      </c>
      <c r="I771" s="263">
        <v>12</v>
      </c>
      <c r="J771" s="263"/>
      <c r="K771" s="14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</row>
    <row r="772" spans="1:11" s="165" customFormat="1" ht="24.75" customHeight="1">
      <c r="A772" s="510" t="s">
        <v>18</v>
      </c>
      <c r="B772" s="510"/>
      <c r="C772" s="510"/>
      <c r="D772" s="510"/>
      <c r="E772" s="36">
        <f>E773+E779+E790+E807+E811+E814+E815</f>
        <v>33.919999999999995</v>
      </c>
      <c r="F772" s="36">
        <f>F773+F779+F790+F807+F811+F814+F815</f>
        <v>32.04</v>
      </c>
      <c r="G772" s="36">
        <f>G773+G779+G790+G807+G811+G814+G815</f>
        <v>126.47999999999999</v>
      </c>
      <c r="H772" s="75">
        <f>H773+H779+H790+H807+H811+H814+H815</f>
        <v>929.4000000000001</v>
      </c>
      <c r="I772" s="192">
        <f>I773+I779+I790+I807+I811+I814+I815</f>
        <v>26.46</v>
      </c>
      <c r="J772" s="36"/>
      <c r="K772" s="14"/>
    </row>
    <row r="773" spans="1:11" s="131" customFormat="1" ht="24.75" customHeight="1">
      <c r="A773" s="501" t="s">
        <v>428</v>
      </c>
      <c r="B773" s="501"/>
      <c r="C773" s="501"/>
      <c r="D773" s="113">
        <v>80</v>
      </c>
      <c r="E773" s="201">
        <v>2.1</v>
      </c>
      <c r="F773" s="201">
        <v>5.1</v>
      </c>
      <c r="G773" s="201">
        <v>4.3</v>
      </c>
      <c r="H773" s="202">
        <f>E773*4+F773*9+G773*4</f>
        <v>71.5</v>
      </c>
      <c r="I773" s="263">
        <v>22.8</v>
      </c>
      <c r="J773" s="192" t="s">
        <v>334</v>
      </c>
      <c r="K773" s="14"/>
    </row>
    <row r="774" spans="1:36" s="18" customFormat="1" ht="24.75" customHeight="1">
      <c r="A774" s="285" t="s">
        <v>120</v>
      </c>
      <c r="B774" s="290">
        <f>C774*1.02</f>
        <v>45.9</v>
      </c>
      <c r="C774" s="290">
        <v>45</v>
      </c>
      <c r="D774" s="286"/>
      <c r="E774" s="287"/>
      <c r="F774" s="287"/>
      <c r="G774" s="287"/>
      <c r="H774" s="287"/>
      <c r="I774" s="288"/>
      <c r="J774" s="288"/>
      <c r="K774" s="1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</row>
    <row r="775" spans="1:36" s="18" customFormat="1" ht="24.75" customHeight="1">
      <c r="A775" s="285" t="s">
        <v>215</v>
      </c>
      <c r="B775" s="290">
        <f>C775*1.18</f>
        <v>53.099999999999994</v>
      </c>
      <c r="C775" s="290">
        <v>45</v>
      </c>
      <c r="D775" s="286"/>
      <c r="E775" s="287"/>
      <c r="F775" s="287"/>
      <c r="G775" s="287"/>
      <c r="H775" s="290"/>
      <c r="I775" s="288"/>
      <c r="J775" s="288"/>
      <c r="K775" s="1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</row>
    <row r="776" spans="1:36" s="18" customFormat="1" ht="33" customHeight="1">
      <c r="A776" s="276" t="s">
        <v>214</v>
      </c>
      <c r="B776" s="272">
        <f>C776*1.54</f>
        <v>46.2</v>
      </c>
      <c r="C776" s="272">
        <v>30</v>
      </c>
      <c r="D776" s="286"/>
      <c r="E776" s="271"/>
      <c r="F776" s="271"/>
      <c r="G776" s="271"/>
      <c r="H776" s="272"/>
      <c r="I776" s="273"/>
      <c r="J776" s="273"/>
      <c r="K776" s="1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</row>
    <row r="777" spans="1:36" s="18" customFormat="1" ht="24.75" customHeight="1">
      <c r="A777" s="276" t="s">
        <v>403</v>
      </c>
      <c r="B777" s="272">
        <f>C777*1.35</f>
        <v>4.050000000000001</v>
      </c>
      <c r="C777" s="272">
        <v>3</v>
      </c>
      <c r="D777" s="286"/>
      <c r="E777" s="271"/>
      <c r="F777" s="271"/>
      <c r="G777" s="271"/>
      <c r="H777" s="272"/>
      <c r="I777" s="273"/>
      <c r="J777" s="273"/>
      <c r="K777" s="1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</row>
    <row r="778" spans="1:36" s="18" customFormat="1" ht="24.75" customHeight="1">
      <c r="A778" s="269" t="s">
        <v>20</v>
      </c>
      <c r="B778" s="272">
        <v>5</v>
      </c>
      <c r="C778" s="272">
        <v>5</v>
      </c>
      <c r="D778" s="286"/>
      <c r="E778" s="271"/>
      <c r="F778" s="271"/>
      <c r="G778" s="271"/>
      <c r="H778" s="272"/>
      <c r="I778" s="273"/>
      <c r="J778" s="273"/>
      <c r="K778" s="11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</row>
    <row r="779" spans="1:36" s="18" customFormat="1" ht="24.75" customHeight="1">
      <c r="A779" s="501" t="s">
        <v>465</v>
      </c>
      <c r="B779" s="501"/>
      <c r="C779" s="501"/>
      <c r="D779" s="113" t="s">
        <v>242</v>
      </c>
      <c r="E779" s="201">
        <v>5.7</v>
      </c>
      <c r="F779" s="201">
        <v>7.4</v>
      </c>
      <c r="G779" s="201">
        <v>22</v>
      </c>
      <c r="H779" s="75">
        <f>E779*4+F779*9+G779*4</f>
        <v>177.4</v>
      </c>
      <c r="I779" s="192">
        <v>3.59</v>
      </c>
      <c r="J779" s="395" t="s">
        <v>464</v>
      </c>
      <c r="K779" s="68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</row>
    <row r="780" spans="1:36" s="18" customFormat="1" ht="24.75" customHeight="1">
      <c r="A780" s="324" t="s">
        <v>194</v>
      </c>
      <c r="B780" s="328">
        <f>C780*1.82</f>
        <v>96.096</v>
      </c>
      <c r="C780" s="272">
        <v>52.8</v>
      </c>
      <c r="D780" s="272"/>
      <c r="E780" s="266"/>
      <c r="F780" s="266"/>
      <c r="G780" s="266"/>
      <c r="H780" s="167"/>
      <c r="I780" s="267"/>
      <c r="J780" s="267"/>
      <c r="K780" s="1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</row>
    <row r="781" spans="1:36" s="18" customFormat="1" ht="35.25" customHeight="1">
      <c r="A781" s="324" t="s">
        <v>159</v>
      </c>
      <c r="B781" s="328">
        <f>C781*1.5</f>
        <v>72</v>
      </c>
      <c r="C781" s="272">
        <v>48</v>
      </c>
      <c r="D781" s="272"/>
      <c r="E781" s="271"/>
      <c r="F781" s="271"/>
      <c r="G781" s="271"/>
      <c r="H781" s="271"/>
      <c r="I781" s="273"/>
      <c r="J781" s="273"/>
      <c r="K781" s="1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</row>
    <row r="782" spans="1:36" s="18" customFormat="1" ht="24.75" customHeight="1">
      <c r="A782" s="326" t="s">
        <v>160</v>
      </c>
      <c r="B782" s="328">
        <f>C782*1.82</f>
        <v>87.36</v>
      </c>
      <c r="C782" s="272">
        <v>48</v>
      </c>
      <c r="D782" s="272"/>
      <c r="E782" s="271"/>
      <c r="F782" s="271"/>
      <c r="G782" s="271"/>
      <c r="H782" s="272"/>
      <c r="I782" s="273"/>
      <c r="J782" s="273"/>
      <c r="K782" s="1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</row>
    <row r="783" spans="1:13" ht="24.75" customHeight="1">
      <c r="A783" s="285" t="s">
        <v>21</v>
      </c>
      <c r="B783" s="290">
        <f>C783*1.33</f>
        <v>119.7</v>
      </c>
      <c r="C783" s="286">
        <v>90</v>
      </c>
      <c r="D783" s="281"/>
      <c r="E783" s="283"/>
      <c r="F783" s="283"/>
      <c r="G783" s="283"/>
      <c r="H783" s="281"/>
      <c r="I783" s="284"/>
      <c r="J783" s="284"/>
      <c r="K783" s="14"/>
      <c r="L783" s="24"/>
      <c r="M783" s="24"/>
    </row>
    <row r="784" spans="1:36" s="18" customFormat="1" ht="24.75" customHeight="1">
      <c r="A784" s="285" t="s">
        <v>22</v>
      </c>
      <c r="B784" s="290">
        <f>C784*1.43</f>
        <v>128.7</v>
      </c>
      <c r="C784" s="286">
        <v>90</v>
      </c>
      <c r="D784" s="290"/>
      <c r="E784" s="287"/>
      <c r="F784" s="287"/>
      <c r="G784" s="287"/>
      <c r="H784" s="290"/>
      <c r="I784" s="288"/>
      <c r="J784" s="288"/>
      <c r="K784" s="1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</row>
    <row r="785" spans="1:36" s="18" customFormat="1" ht="24.75" customHeight="1">
      <c r="A785" s="285" t="s">
        <v>23</v>
      </c>
      <c r="B785" s="290">
        <f>C785*1.54</f>
        <v>138.6</v>
      </c>
      <c r="C785" s="286">
        <v>90</v>
      </c>
      <c r="D785" s="290"/>
      <c r="E785" s="287"/>
      <c r="F785" s="287"/>
      <c r="G785" s="287"/>
      <c r="H785" s="290"/>
      <c r="I785" s="288"/>
      <c r="J785" s="288"/>
      <c r="K785" s="1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</row>
    <row r="786" spans="1:36" s="18" customFormat="1" ht="24.75" customHeight="1">
      <c r="A786" s="285" t="s">
        <v>24</v>
      </c>
      <c r="B786" s="290">
        <f>C786*1.67</f>
        <v>150.29999999999998</v>
      </c>
      <c r="C786" s="286">
        <v>90</v>
      </c>
      <c r="D786" s="290"/>
      <c r="E786" s="287"/>
      <c r="F786" s="287"/>
      <c r="G786" s="287"/>
      <c r="H786" s="290"/>
      <c r="I786" s="288"/>
      <c r="J786" s="288"/>
      <c r="K786" s="1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</row>
    <row r="787" spans="1:13" ht="24.75" customHeight="1">
      <c r="A787" s="269" t="s">
        <v>26</v>
      </c>
      <c r="B787" s="290">
        <f>C787*1.19</f>
        <v>15.469999999999999</v>
      </c>
      <c r="C787" s="272">
        <v>13</v>
      </c>
      <c r="D787" s="290"/>
      <c r="E787" s="271"/>
      <c r="F787" s="271"/>
      <c r="G787" s="271"/>
      <c r="H787" s="272"/>
      <c r="I787" s="273"/>
      <c r="J787" s="273"/>
      <c r="K787" s="14"/>
      <c r="L787" s="24"/>
      <c r="M787" s="24"/>
    </row>
    <row r="788" spans="1:13" ht="24.75" customHeight="1">
      <c r="A788" s="269" t="s">
        <v>27</v>
      </c>
      <c r="B788" s="270">
        <v>8</v>
      </c>
      <c r="C788" s="270">
        <v>8</v>
      </c>
      <c r="D788" s="290"/>
      <c r="E788" s="271"/>
      <c r="F788" s="271"/>
      <c r="G788" s="271"/>
      <c r="H788" s="272"/>
      <c r="I788" s="273"/>
      <c r="J788" s="273"/>
      <c r="K788" s="14"/>
      <c r="L788" s="24"/>
      <c r="M788" s="24"/>
    </row>
    <row r="789" spans="1:13" ht="24.75" customHeight="1">
      <c r="A789" s="285" t="s">
        <v>68</v>
      </c>
      <c r="B789" s="290">
        <f>C789*1.35</f>
        <v>4.050000000000001</v>
      </c>
      <c r="C789" s="270">
        <v>3</v>
      </c>
      <c r="D789" s="290"/>
      <c r="E789" s="271"/>
      <c r="F789" s="271"/>
      <c r="G789" s="271"/>
      <c r="H789" s="272"/>
      <c r="I789" s="273"/>
      <c r="J789" s="273"/>
      <c r="K789" s="14"/>
      <c r="L789" s="24"/>
      <c r="M789" s="24"/>
    </row>
    <row r="790" spans="1:13" ht="24.75" customHeight="1">
      <c r="A790" s="501" t="s">
        <v>245</v>
      </c>
      <c r="B790" s="501"/>
      <c r="C790" s="501"/>
      <c r="D790" s="113">
        <v>100</v>
      </c>
      <c r="E790" s="36">
        <v>12.5</v>
      </c>
      <c r="F790" s="36">
        <v>12.9</v>
      </c>
      <c r="G790" s="36">
        <v>1.8</v>
      </c>
      <c r="H790" s="75">
        <f>E790*4+F790*9+G790*4</f>
        <v>173.3</v>
      </c>
      <c r="I790" s="192">
        <v>0.07</v>
      </c>
      <c r="J790" s="192" t="s">
        <v>447</v>
      </c>
      <c r="K790" s="98"/>
      <c r="L790" s="24"/>
      <c r="M790" s="24"/>
    </row>
    <row r="791" spans="1:13" ht="24.75" customHeight="1">
      <c r="A791" s="302" t="s">
        <v>60</v>
      </c>
      <c r="B791" s="300">
        <f>C791*1.36</f>
        <v>107.44000000000001</v>
      </c>
      <c r="C791" s="167">
        <v>79</v>
      </c>
      <c r="D791" s="278"/>
      <c r="E791" s="292"/>
      <c r="F791" s="292"/>
      <c r="G791" s="292"/>
      <c r="H791" s="337"/>
      <c r="I791" s="410"/>
      <c r="J791" s="410"/>
      <c r="K791" s="99"/>
      <c r="L791" s="24"/>
      <c r="M791" s="24"/>
    </row>
    <row r="792" spans="1:36" s="18" customFormat="1" ht="24.75" customHeight="1">
      <c r="A792" s="302" t="s">
        <v>72</v>
      </c>
      <c r="B792" s="435">
        <f>C792*1.18</f>
        <v>93.22</v>
      </c>
      <c r="C792" s="167">
        <v>79</v>
      </c>
      <c r="D792" s="278"/>
      <c r="E792" s="271"/>
      <c r="F792" s="271"/>
      <c r="G792" s="271"/>
      <c r="H792" s="271"/>
      <c r="I792" s="273"/>
      <c r="J792" s="273"/>
      <c r="K792" s="10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</row>
    <row r="793" spans="1:36" s="18" customFormat="1" ht="24.75" customHeight="1">
      <c r="A793" s="285" t="s">
        <v>27</v>
      </c>
      <c r="B793" s="286">
        <v>10</v>
      </c>
      <c r="C793" s="286">
        <v>10</v>
      </c>
      <c r="D793" s="278"/>
      <c r="E793" s="287"/>
      <c r="F793" s="287"/>
      <c r="G793" s="287"/>
      <c r="H793" s="286"/>
      <c r="I793" s="288"/>
      <c r="J793" s="288"/>
      <c r="K793" s="21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</row>
    <row r="794" spans="1:13" ht="24.75" customHeight="1">
      <c r="A794" s="306" t="s">
        <v>165</v>
      </c>
      <c r="B794" s="286"/>
      <c r="C794" s="278">
        <v>50</v>
      </c>
      <c r="D794" s="286"/>
      <c r="E794" s="287"/>
      <c r="F794" s="287"/>
      <c r="G794" s="287"/>
      <c r="H794" s="290"/>
      <c r="I794" s="288"/>
      <c r="J794" s="288"/>
      <c r="K794" s="52"/>
      <c r="L794" s="24"/>
      <c r="M794" s="24"/>
    </row>
    <row r="795" spans="1:13" ht="24.75" customHeight="1">
      <c r="A795" s="269" t="s">
        <v>93</v>
      </c>
      <c r="B795" s="287">
        <v>12.5</v>
      </c>
      <c r="C795" s="287">
        <v>12.5</v>
      </c>
      <c r="D795" s="286"/>
      <c r="E795" s="287"/>
      <c r="F795" s="287"/>
      <c r="G795" s="287"/>
      <c r="H795" s="290"/>
      <c r="I795" s="288"/>
      <c r="J795" s="288"/>
      <c r="K795" s="66"/>
      <c r="L795" s="24"/>
      <c r="M795" s="24"/>
    </row>
    <row r="796" spans="1:11" s="56" customFormat="1" ht="24.75" customHeight="1">
      <c r="A796" s="285" t="s">
        <v>28</v>
      </c>
      <c r="B796" s="287">
        <v>2.5</v>
      </c>
      <c r="C796" s="287">
        <v>2.5</v>
      </c>
      <c r="D796" s="286"/>
      <c r="E796" s="287"/>
      <c r="F796" s="287"/>
      <c r="G796" s="287"/>
      <c r="H796" s="290"/>
      <c r="I796" s="288"/>
      <c r="J796" s="288"/>
      <c r="K796" s="13"/>
    </row>
    <row r="797" spans="1:36" s="5" customFormat="1" ht="24.75" customHeight="1" thickBot="1">
      <c r="A797" s="285" t="s">
        <v>108</v>
      </c>
      <c r="B797" s="287">
        <v>37.5</v>
      </c>
      <c r="C797" s="287">
        <v>37.5</v>
      </c>
      <c r="D797" s="286"/>
      <c r="E797" s="287"/>
      <c r="F797" s="287"/>
      <c r="G797" s="287"/>
      <c r="H797" s="290"/>
      <c r="I797" s="288"/>
      <c r="J797" s="288"/>
      <c r="K797" s="14"/>
      <c r="L797" s="115" t="s">
        <v>49</v>
      </c>
      <c r="M797" s="78"/>
      <c r="N797" s="124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s="5" customFormat="1" ht="24.75" customHeight="1">
      <c r="A798" s="534" t="s">
        <v>253</v>
      </c>
      <c r="B798" s="535"/>
      <c r="C798" s="535"/>
      <c r="D798" s="535"/>
      <c r="E798" s="535"/>
      <c r="F798" s="535"/>
      <c r="G798" s="535"/>
      <c r="H798" s="535"/>
      <c r="I798" s="535"/>
      <c r="J798" s="536"/>
      <c r="K798" s="14"/>
      <c r="L798" s="42" t="s">
        <v>70</v>
      </c>
      <c r="M798" s="77">
        <f>D912+D950</f>
        <v>120</v>
      </c>
      <c r="N798" s="124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s="5" customFormat="1" ht="24.75" customHeight="1">
      <c r="A799" s="501" t="s">
        <v>254</v>
      </c>
      <c r="B799" s="501"/>
      <c r="C799" s="501"/>
      <c r="D799" s="113">
        <v>100</v>
      </c>
      <c r="E799" s="36">
        <v>11.1</v>
      </c>
      <c r="F799" s="36">
        <v>9.375</v>
      </c>
      <c r="G799" s="36">
        <v>1.375</v>
      </c>
      <c r="H799" s="75">
        <f>E799*4+F799*9+G799*4</f>
        <v>134.275</v>
      </c>
      <c r="I799" s="192">
        <v>3.28</v>
      </c>
      <c r="J799" s="192" t="s">
        <v>507</v>
      </c>
      <c r="K799" s="14"/>
      <c r="L799" s="139" t="s">
        <v>80</v>
      </c>
      <c r="M799" s="170">
        <f>D911+D951++B859</f>
        <v>160</v>
      </c>
      <c r="N799" s="160">
        <f>D911+D951</f>
        <v>130</v>
      </c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s="18" customFormat="1" ht="24.75" customHeight="1">
      <c r="A800" s="299" t="s">
        <v>255</v>
      </c>
      <c r="B800" s="436">
        <v>87</v>
      </c>
      <c r="C800" s="290">
        <v>71.66666666666667</v>
      </c>
      <c r="D800" s="286"/>
      <c r="E800" s="287"/>
      <c r="F800" s="287"/>
      <c r="G800" s="287"/>
      <c r="H800" s="286"/>
      <c r="I800" s="288"/>
      <c r="J800" s="288"/>
      <c r="K800" s="14"/>
      <c r="L800" s="25" t="s">
        <v>81</v>
      </c>
      <c r="M800" s="77">
        <f>+B936</f>
        <v>2.5</v>
      </c>
      <c r="N800" s="8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</row>
    <row r="801" spans="1:36" s="18" customFormat="1" ht="24.75" customHeight="1">
      <c r="A801" s="285" t="s">
        <v>28</v>
      </c>
      <c r="B801" s="286">
        <v>4</v>
      </c>
      <c r="C801" s="286">
        <v>4</v>
      </c>
      <c r="D801" s="286"/>
      <c r="E801" s="287"/>
      <c r="F801" s="287"/>
      <c r="G801" s="287"/>
      <c r="H801" s="286"/>
      <c r="I801" s="288"/>
      <c r="J801" s="288"/>
      <c r="K801" s="14"/>
      <c r="L801" s="26" t="s">
        <v>123</v>
      </c>
      <c r="M801" s="77">
        <f>B852+B931</f>
        <v>45</v>
      </c>
      <c r="N801" s="8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</row>
    <row r="802" spans="1:14" ht="24.75" customHeight="1">
      <c r="A802" s="285" t="s">
        <v>27</v>
      </c>
      <c r="B802" s="286">
        <v>10</v>
      </c>
      <c r="C802" s="286">
        <v>10</v>
      </c>
      <c r="D802" s="286"/>
      <c r="E802" s="287"/>
      <c r="F802" s="287"/>
      <c r="G802" s="287"/>
      <c r="H802" s="286"/>
      <c r="I802" s="288"/>
      <c r="J802" s="288"/>
      <c r="K802" s="14"/>
      <c r="L802" s="26"/>
      <c r="M802" s="77"/>
      <c r="N802" s="84"/>
    </row>
    <row r="803" spans="1:36" s="18" customFormat="1" ht="24.75" customHeight="1">
      <c r="A803" s="437" t="s">
        <v>165</v>
      </c>
      <c r="B803" s="286"/>
      <c r="C803" s="278">
        <v>50</v>
      </c>
      <c r="D803" s="286"/>
      <c r="E803" s="287"/>
      <c r="F803" s="287"/>
      <c r="G803" s="287"/>
      <c r="H803" s="290"/>
      <c r="I803" s="288"/>
      <c r="J803" s="288"/>
      <c r="K803" s="14"/>
      <c r="L803" s="25" t="s">
        <v>137</v>
      </c>
      <c r="M803" s="77">
        <f>B875+B900+B940</f>
        <v>485.45</v>
      </c>
      <c r="N803" s="8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</row>
    <row r="804" spans="1:36" s="18" customFormat="1" ht="24.75" customHeight="1">
      <c r="A804" s="269" t="s">
        <v>93</v>
      </c>
      <c r="B804" s="287">
        <v>12.5</v>
      </c>
      <c r="C804" s="287">
        <v>12.5</v>
      </c>
      <c r="D804" s="286"/>
      <c r="E804" s="287"/>
      <c r="F804" s="287"/>
      <c r="G804" s="287"/>
      <c r="H804" s="290"/>
      <c r="I804" s="288"/>
      <c r="J804" s="288"/>
      <c r="K804" s="14"/>
      <c r="L804" s="25" t="s">
        <v>82</v>
      </c>
      <c r="M804" s="77">
        <f>B880+B881+B882+B884+B890+B892+B945++B872+B932+B898+B933+B870+B904+B918+B920+B921+B922+B923+B905</f>
        <v>466.77400000000006</v>
      </c>
      <c r="N804" s="8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</row>
    <row r="805" spans="1:14" ht="24.75" customHeight="1">
      <c r="A805" s="285" t="s">
        <v>28</v>
      </c>
      <c r="B805" s="287">
        <v>2.5</v>
      </c>
      <c r="C805" s="287">
        <v>2.5</v>
      </c>
      <c r="D805" s="286"/>
      <c r="E805" s="287"/>
      <c r="F805" s="287"/>
      <c r="G805" s="287"/>
      <c r="H805" s="290"/>
      <c r="I805" s="288"/>
      <c r="J805" s="288"/>
      <c r="L805" s="25" t="s">
        <v>83</v>
      </c>
      <c r="M805" s="77">
        <f>B856++D867+B925</f>
        <v>227.808</v>
      </c>
      <c r="N805" s="84"/>
    </row>
    <row r="806" spans="1:36" s="18" customFormat="1" ht="24.75" customHeight="1">
      <c r="A806" s="285" t="s">
        <v>108</v>
      </c>
      <c r="B806" s="287">
        <v>37.5</v>
      </c>
      <c r="C806" s="287">
        <v>37.5</v>
      </c>
      <c r="D806" s="286"/>
      <c r="E806" s="287"/>
      <c r="F806" s="287"/>
      <c r="G806" s="287"/>
      <c r="H806" s="290"/>
      <c r="I806" s="288"/>
      <c r="J806" s="288"/>
      <c r="K806" s="64"/>
      <c r="L806" s="25" t="s">
        <v>124</v>
      </c>
      <c r="M806" s="77">
        <f>D915</f>
        <v>200</v>
      </c>
      <c r="N806" s="8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</row>
    <row r="807" spans="1:14" s="18" customFormat="1" ht="24.75" customHeight="1">
      <c r="A807" s="501" t="s">
        <v>329</v>
      </c>
      <c r="B807" s="501"/>
      <c r="C807" s="501"/>
      <c r="D807" s="113">
        <v>200</v>
      </c>
      <c r="E807" s="201">
        <v>4.5</v>
      </c>
      <c r="F807" s="201">
        <v>5.1</v>
      </c>
      <c r="G807" s="201">
        <v>31.5</v>
      </c>
      <c r="H807" s="202">
        <f>E807*4+F807*9+G807*4</f>
        <v>189.9</v>
      </c>
      <c r="I807" s="263">
        <v>0</v>
      </c>
      <c r="J807" s="263" t="s">
        <v>491</v>
      </c>
      <c r="K807" s="64"/>
      <c r="L807" s="25" t="s">
        <v>84</v>
      </c>
      <c r="M807" s="77">
        <f>B908</f>
        <v>25</v>
      </c>
      <c r="N807" s="84">
        <f>B854+B948</f>
        <v>18</v>
      </c>
    </row>
    <row r="808" spans="1:36" s="18" customFormat="1" ht="24.75" customHeight="1">
      <c r="A808" s="269" t="s">
        <v>110</v>
      </c>
      <c r="B808" s="290">
        <v>50</v>
      </c>
      <c r="C808" s="290">
        <v>50</v>
      </c>
      <c r="D808" s="290"/>
      <c r="E808" s="287"/>
      <c r="F808" s="287"/>
      <c r="G808" s="287"/>
      <c r="H808" s="286"/>
      <c r="I808" s="288"/>
      <c r="J808" s="288"/>
      <c r="K808" s="64"/>
      <c r="L808" s="25" t="s">
        <v>85</v>
      </c>
      <c r="M808" s="77">
        <f>B854+B948++B924+B864+B909</f>
        <v>44.6</v>
      </c>
      <c r="N808" s="8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</row>
    <row r="809" spans="1:36" s="18" customFormat="1" ht="24.75" customHeight="1">
      <c r="A809" s="269" t="s">
        <v>108</v>
      </c>
      <c r="B809" s="290">
        <v>160</v>
      </c>
      <c r="C809" s="290">
        <v>160</v>
      </c>
      <c r="D809" s="290"/>
      <c r="E809" s="287"/>
      <c r="F809" s="287"/>
      <c r="G809" s="287"/>
      <c r="H809" s="286"/>
      <c r="I809" s="288"/>
      <c r="J809" s="288"/>
      <c r="K809" s="64"/>
      <c r="L809" s="151" t="s">
        <v>197</v>
      </c>
      <c r="M809" s="82">
        <f>D914</f>
        <v>30</v>
      </c>
      <c r="N809" s="8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</row>
    <row r="810" spans="1:14" ht="24.75" customHeight="1">
      <c r="A810" s="285" t="s">
        <v>27</v>
      </c>
      <c r="B810" s="286">
        <v>5</v>
      </c>
      <c r="C810" s="286">
        <v>5</v>
      </c>
      <c r="D810" s="113"/>
      <c r="E810" s="36"/>
      <c r="F810" s="36"/>
      <c r="G810" s="36"/>
      <c r="H810" s="36"/>
      <c r="I810" s="192"/>
      <c r="J810" s="192"/>
      <c r="L810" s="25" t="s">
        <v>125</v>
      </c>
      <c r="M810" s="77"/>
      <c r="N810" s="84"/>
    </row>
    <row r="811" spans="1:14" s="18" customFormat="1" ht="24.75" customHeight="1">
      <c r="A811" s="496" t="s">
        <v>161</v>
      </c>
      <c r="B811" s="496"/>
      <c r="C811" s="496"/>
      <c r="D811" s="374">
        <v>200</v>
      </c>
      <c r="E811" s="261">
        <v>0.4</v>
      </c>
      <c r="F811" s="261">
        <v>0</v>
      </c>
      <c r="G811" s="261">
        <v>24.5</v>
      </c>
      <c r="H811" s="75">
        <f>E811*4+F811*9+G811*4</f>
        <v>99.6</v>
      </c>
      <c r="I811" s="192">
        <v>0</v>
      </c>
      <c r="J811" s="192" t="s">
        <v>370</v>
      </c>
      <c r="K811" s="64"/>
      <c r="L811" s="25" t="s">
        <v>86</v>
      </c>
      <c r="M811" s="77">
        <f>B947</f>
        <v>0.4</v>
      </c>
      <c r="N811" s="62"/>
    </row>
    <row r="812" spans="1:14" ht="24.75" customHeight="1">
      <c r="A812" s="291" t="s">
        <v>65</v>
      </c>
      <c r="B812" s="376">
        <v>25</v>
      </c>
      <c r="C812" s="376">
        <v>25</v>
      </c>
      <c r="D812" s="376"/>
      <c r="E812" s="367"/>
      <c r="F812" s="367"/>
      <c r="G812" s="367"/>
      <c r="H812" s="329"/>
      <c r="I812" s="318"/>
      <c r="J812" s="318"/>
      <c r="L812" s="25" t="s">
        <v>126</v>
      </c>
      <c r="M812" s="77">
        <f>B888+B928</f>
        <v>101.6</v>
      </c>
      <c r="N812" s="62"/>
    </row>
    <row r="813" spans="1:14" ht="24.75" customHeight="1">
      <c r="A813" s="269" t="s">
        <v>156</v>
      </c>
      <c r="B813" s="286">
        <v>10</v>
      </c>
      <c r="C813" s="286">
        <v>10</v>
      </c>
      <c r="D813" s="286"/>
      <c r="E813" s="287"/>
      <c r="F813" s="287"/>
      <c r="G813" s="287"/>
      <c r="H813" s="287"/>
      <c r="I813" s="288"/>
      <c r="J813" s="288"/>
      <c r="L813" s="195" t="s">
        <v>199</v>
      </c>
      <c r="M813" s="78">
        <f>B895</f>
        <v>114.88600000000001</v>
      </c>
      <c r="N813" s="62"/>
    </row>
    <row r="814" spans="1:14" ht="24.75" customHeight="1">
      <c r="A814" s="501" t="s">
        <v>267</v>
      </c>
      <c r="B814" s="501"/>
      <c r="C814" s="501"/>
      <c r="D814" s="113">
        <v>50</v>
      </c>
      <c r="E814" s="36">
        <v>4.1</v>
      </c>
      <c r="F814" s="36">
        <v>0.7</v>
      </c>
      <c r="G814" s="36">
        <v>19</v>
      </c>
      <c r="H814" s="75">
        <v>98.7</v>
      </c>
      <c r="I814" s="192">
        <v>0</v>
      </c>
      <c r="J814" s="192"/>
      <c r="K814" s="14"/>
      <c r="L814" s="25" t="s">
        <v>87</v>
      </c>
      <c r="M814" s="79"/>
      <c r="N814" s="62"/>
    </row>
    <row r="815" spans="1:14" ht="24.75" customHeight="1">
      <c r="A815" s="506" t="s">
        <v>70</v>
      </c>
      <c r="B815" s="506"/>
      <c r="C815" s="506"/>
      <c r="D815" s="227">
        <v>70</v>
      </c>
      <c r="E815" s="201">
        <v>4.62</v>
      </c>
      <c r="F815" s="201">
        <v>0.84</v>
      </c>
      <c r="G815" s="201">
        <v>23.38</v>
      </c>
      <c r="H815" s="202">
        <v>119</v>
      </c>
      <c r="I815" s="263">
        <v>0</v>
      </c>
      <c r="J815" s="263"/>
      <c r="K815" s="14"/>
      <c r="L815" s="25" t="s">
        <v>127</v>
      </c>
      <c r="M815" s="79"/>
      <c r="N815" s="62"/>
    </row>
    <row r="816" spans="1:14" ht="24.75" customHeight="1">
      <c r="A816" s="510" t="s">
        <v>59</v>
      </c>
      <c r="B816" s="510"/>
      <c r="C816" s="510"/>
      <c r="D816" s="510"/>
      <c r="E816" s="36">
        <f>E817+E819</f>
        <v>1.6</v>
      </c>
      <c r="F816" s="36">
        <f>F817+F819</f>
        <v>1.6</v>
      </c>
      <c r="G816" s="36">
        <f>G817+G819</f>
        <v>68.6</v>
      </c>
      <c r="H816" s="75">
        <f>H817+H819</f>
        <v>295.20000000000005</v>
      </c>
      <c r="I816" s="192">
        <f>I817+I819</f>
        <v>19</v>
      </c>
      <c r="J816" s="36"/>
      <c r="K816" s="10"/>
      <c r="L816" s="26" t="s">
        <v>128</v>
      </c>
      <c r="M816" s="79">
        <f>B853+B949++B865</f>
        <v>281</v>
      </c>
      <c r="N816" s="84"/>
    </row>
    <row r="817" spans="1:36" s="18" customFormat="1" ht="24.75" customHeight="1">
      <c r="A817" s="495" t="s">
        <v>563</v>
      </c>
      <c r="B817" s="495"/>
      <c r="C817" s="495"/>
      <c r="D817" s="282">
        <v>90</v>
      </c>
      <c r="E817" s="292">
        <v>1.5</v>
      </c>
      <c r="F817" s="292">
        <v>1.6</v>
      </c>
      <c r="G817" s="292">
        <v>46.6</v>
      </c>
      <c r="H817" s="75">
        <f>E817*4+F817*9+G817*4</f>
        <v>206.8</v>
      </c>
      <c r="I817" s="192">
        <v>0</v>
      </c>
      <c r="J817" s="192"/>
      <c r="K817" s="14"/>
      <c r="L817" s="26"/>
      <c r="M817" s="79">
        <f>B953</f>
        <v>206</v>
      </c>
      <c r="N817" s="62">
        <f>B853+B949+B953</f>
        <v>481</v>
      </c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</row>
    <row r="818" spans="1:36" s="18" customFormat="1" ht="24.75" customHeight="1">
      <c r="A818" s="513" t="s">
        <v>390</v>
      </c>
      <c r="B818" s="513"/>
      <c r="C818" s="513"/>
      <c r="D818" s="282"/>
      <c r="E818" s="292"/>
      <c r="F818" s="292"/>
      <c r="G818" s="292"/>
      <c r="H818" s="75"/>
      <c r="I818" s="192"/>
      <c r="J818" s="192"/>
      <c r="K818" s="64"/>
      <c r="L818" s="25" t="s">
        <v>88</v>
      </c>
      <c r="M818" s="79"/>
      <c r="N818" s="8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</row>
    <row r="819" spans="1:36" s="18" customFormat="1" ht="63.75" customHeight="1">
      <c r="A819" s="483" t="s">
        <v>487</v>
      </c>
      <c r="B819" s="483"/>
      <c r="C819" s="483"/>
      <c r="D819" s="227">
        <v>200</v>
      </c>
      <c r="E819" s="201">
        <v>0.1</v>
      </c>
      <c r="F819" s="201">
        <v>0</v>
      </c>
      <c r="G819" s="201">
        <v>22</v>
      </c>
      <c r="H819" s="202">
        <f>E819*4+F819*9+G819*4</f>
        <v>88.4</v>
      </c>
      <c r="I819" s="263">
        <v>19</v>
      </c>
      <c r="J819" s="292" t="s">
        <v>486</v>
      </c>
      <c r="K819" s="64"/>
      <c r="L819" s="25" t="s">
        <v>89</v>
      </c>
      <c r="M819" s="79">
        <f>B937</f>
        <v>10</v>
      </c>
      <c r="N819" s="8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</row>
    <row r="820" spans="1:36" s="18" customFormat="1" ht="24.75" customHeight="1">
      <c r="A820" s="510" t="s">
        <v>30</v>
      </c>
      <c r="B820" s="510"/>
      <c r="C820" s="510"/>
      <c r="D820" s="510"/>
      <c r="E820" s="36">
        <f>SUM(E821:E843)</f>
        <v>21.86</v>
      </c>
      <c r="F820" s="36">
        <f>SUM(F821:F843)</f>
        <v>24.420000000000005</v>
      </c>
      <c r="G820" s="36">
        <f>SUM(G821:G843)</f>
        <v>77.7</v>
      </c>
      <c r="H820" s="75">
        <f>SUM(H821:H843)</f>
        <v>605.8399999999999</v>
      </c>
      <c r="I820" s="192">
        <f>SUM(I821:I843)</f>
        <v>97.47</v>
      </c>
      <c r="J820" s="36"/>
      <c r="K820" s="64"/>
      <c r="L820" s="25" t="s">
        <v>132</v>
      </c>
      <c r="M820" s="79">
        <f>B860</f>
        <v>21</v>
      </c>
      <c r="N820" s="8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</row>
    <row r="821" spans="1:36" s="18" customFormat="1" ht="24.75" customHeight="1">
      <c r="A821" s="501" t="s">
        <v>531</v>
      </c>
      <c r="B821" s="501"/>
      <c r="C821" s="501"/>
      <c r="D821" s="113">
        <v>80</v>
      </c>
      <c r="E821" s="201">
        <v>0.8</v>
      </c>
      <c r="F821" s="201">
        <v>0.1</v>
      </c>
      <c r="G821" s="201">
        <v>2.9</v>
      </c>
      <c r="H821" s="202">
        <f>E821*4+F821*9+G821*4</f>
        <v>15.7</v>
      </c>
      <c r="I821" s="263">
        <v>82.3</v>
      </c>
      <c r="J821" s="263" t="s">
        <v>334</v>
      </c>
      <c r="K821" s="64"/>
      <c r="L821" s="25" t="s">
        <v>90</v>
      </c>
      <c r="M821" s="79">
        <f>B857+B885+B906++B944++B861+B938</f>
        <v>43.5</v>
      </c>
      <c r="N821" s="84">
        <f>B857+B885+B906+B944</f>
        <v>31</v>
      </c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</row>
    <row r="822" spans="1:36" s="18" customFormat="1" ht="24.75" customHeight="1">
      <c r="A822" s="269" t="s">
        <v>166</v>
      </c>
      <c r="B822" s="272">
        <f>C822*1.33</f>
        <v>53.2</v>
      </c>
      <c r="C822" s="270">
        <v>40</v>
      </c>
      <c r="D822" s="113"/>
      <c r="E822" s="36"/>
      <c r="F822" s="36"/>
      <c r="G822" s="36"/>
      <c r="H822" s="36"/>
      <c r="I822" s="192"/>
      <c r="J822" s="36"/>
      <c r="K822" s="64"/>
      <c r="L822" s="25" t="s">
        <v>63</v>
      </c>
      <c r="M822" s="79">
        <f>B934+C926</f>
        <v>12</v>
      </c>
      <c r="N822" s="84">
        <f>B934</f>
        <v>7</v>
      </c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</row>
    <row r="823" spans="1:36" s="18" customFormat="1" ht="24.75" customHeight="1" thickBot="1">
      <c r="A823" s="285" t="s">
        <v>158</v>
      </c>
      <c r="B823" s="290">
        <f>C823*1.02</f>
        <v>40.8</v>
      </c>
      <c r="C823" s="270">
        <v>40</v>
      </c>
      <c r="D823" s="113"/>
      <c r="E823" s="36"/>
      <c r="F823" s="36"/>
      <c r="G823" s="36"/>
      <c r="H823" s="75"/>
      <c r="I823" s="192"/>
      <c r="J823" s="192"/>
      <c r="K823" s="64"/>
      <c r="L823" s="27" t="s">
        <v>91</v>
      </c>
      <c r="M823" s="79">
        <f>B891</f>
        <v>3</v>
      </c>
      <c r="N823" s="8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</row>
    <row r="824" spans="1:36" s="18" customFormat="1" ht="24.75" customHeight="1">
      <c r="A824" s="285" t="s">
        <v>213</v>
      </c>
      <c r="B824" s="290">
        <f>C824*1.05</f>
        <v>42</v>
      </c>
      <c r="C824" s="270">
        <v>40</v>
      </c>
      <c r="D824" s="113"/>
      <c r="E824" s="36"/>
      <c r="F824" s="36"/>
      <c r="G824" s="36"/>
      <c r="H824" s="75"/>
      <c r="I824" s="192"/>
      <c r="J824" s="192"/>
      <c r="K824" s="64"/>
      <c r="L824" s="152" t="s">
        <v>200</v>
      </c>
      <c r="M824" s="82"/>
      <c r="N824" s="8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</row>
    <row r="825" spans="1:36" s="18" customFormat="1" ht="24.75" customHeight="1">
      <c r="A825" s="496" t="s">
        <v>430</v>
      </c>
      <c r="B825" s="496"/>
      <c r="C825" s="496"/>
      <c r="D825" s="374">
        <v>300</v>
      </c>
      <c r="E825" s="201">
        <v>10.9</v>
      </c>
      <c r="F825" s="201">
        <v>18.5</v>
      </c>
      <c r="G825" s="201">
        <v>27.8</v>
      </c>
      <c r="H825" s="202">
        <f>E825*4+F825*9+G825*4</f>
        <v>321.3</v>
      </c>
      <c r="I825" s="263">
        <v>13.8</v>
      </c>
      <c r="J825" s="263" t="s">
        <v>334</v>
      </c>
      <c r="K825" s="64"/>
      <c r="L825" s="29" t="s">
        <v>206</v>
      </c>
      <c r="M825" s="156"/>
      <c r="N825" s="8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</row>
    <row r="826" spans="1:36" s="18" customFormat="1" ht="24.75" customHeight="1">
      <c r="A826" s="291" t="s">
        <v>21</v>
      </c>
      <c r="B826" s="290">
        <f>C826*1.33</f>
        <v>192.85000000000002</v>
      </c>
      <c r="C826" s="376">
        <v>145</v>
      </c>
      <c r="D826" s="281"/>
      <c r="E826" s="283"/>
      <c r="F826" s="283"/>
      <c r="G826" s="283"/>
      <c r="H826" s="281"/>
      <c r="I826" s="284"/>
      <c r="J826" s="284"/>
      <c r="K826" s="64"/>
      <c r="L826" s="29"/>
      <c r="M826" s="82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</row>
    <row r="827" spans="1:36" s="18" customFormat="1" ht="24.75" customHeight="1">
      <c r="A827" s="291" t="s">
        <v>22</v>
      </c>
      <c r="B827" s="290">
        <f>C827*1.43</f>
        <v>207.35</v>
      </c>
      <c r="C827" s="376">
        <v>145</v>
      </c>
      <c r="D827" s="374"/>
      <c r="E827" s="336"/>
      <c r="F827" s="336"/>
      <c r="G827" s="336"/>
      <c r="H827" s="75"/>
      <c r="I827" s="192"/>
      <c r="J827" s="192"/>
      <c r="K827" s="64"/>
      <c r="L827" s="29"/>
      <c r="M827" s="82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</row>
    <row r="828" spans="1:36" s="18" customFormat="1" ht="24.75" customHeight="1">
      <c r="A828" s="285" t="s">
        <v>23</v>
      </c>
      <c r="B828" s="290">
        <f>C828*1.54</f>
        <v>223.3</v>
      </c>
      <c r="C828" s="376">
        <v>145</v>
      </c>
      <c r="D828" s="329"/>
      <c r="E828" s="367"/>
      <c r="F828" s="367"/>
      <c r="G828" s="367"/>
      <c r="H828" s="329"/>
      <c r="I828" s="318"/>
      <c r="J828" s="318"/>
      <c r="K828" s="64"/>
      <c r="L828" s="29"/>
      <c r="M828" s="82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</row>
    <row r="829" spans="1:36" s="18" customFormat="1" ht="24.75" customHeight="1">
      <c r="A829" s="285" t="s">
        <v>24</v>
      </c>
      <c r="B829" s="290">
        <f>C829*1.67</f>
        <v>242.14999999999998</v>
      </c>
      <c r="C829" s="376">
        <v>145</v>
      </c>
      <c r="D829" s="329"/>
      <c r="E829" s="367"/>
      <c r="F829" s="367"/>
      <c r="G829" s="367"/>
      <c r="H829" s="367"/>
      <c r="I829" s="318"/>
      <c r="J829" s="318"/>
      <c r="K829" s="64"/>
      <c r="L829" s="29"/>
      <c r="M829" s="82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</row>
    <row r="830" spans="1:36" s="18" customFormat="1" ht="24.75" customHeight="1">
      <c r="A830" s="299" t="s">
        <v>60</v>
      </c>
      <c r="B830" s="301">
        <f>C830*1.36</f>
        <v>107.44000000000001</v>
      </c>
      <c r="C830" s="281">
        <v>79</v>
      </c>
      <c r="D830" s="329"/>
      <c r="E830" s="367"/>
      <c r="F830" s="367"/>
      <c r="G830" s="367"/>
      <c r="H830" s="329"/>
      <c r="I830" s="318"/>
      <c r="J830" s="318"/>
      <c r="K830" s="10"/>
      <c r="L830" s="29"/>
      <c r="M830" s="82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</row>
    <row r="831" spans="1:36" s="18" customFormat="1" ht="24.75" customHeight="1">
      <c r="A831" s="302" t="s">
        <v>72</v>
      </c>
      <c r="B831" s="325">
        <f>C831*1.18</f>
        <v>93.22</v>
      </c>
      <c r="C831" s="281">
        <v>79</v>
      </c>
      <c r="D831" s="329"/>
      <c r="E831" s="367"/>
      <c r="F831" s="367"/>
      <c r="G831" s="367"/>
      <c r="H831" s="329"/>
      <c r="I831" s="318"/>
      <c r="J831" s="318"/>
      <c r="K831" s="10"/>
      <c r="L831" s="29"/>
      <c r="M831" s="82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</row>
    <row r="832" spans="1:36" s="18" customFormat="1" ht="24.75" customHeight="1">
      <c r="A832" s="291" t="s">
        <v>27</v>
      </c>
      <c r="B832" s="376">
        <v>8</v>
      </c>
      <c r="C832" s="376">
        <v>8</v>
      </c>
      <c r="D832" s="329"/>
      <c r="E832" s="367"/>
      <c r="F832" s="367"/>
      <c r="G832" s="367"/>
      <c r="H832" s="329"/>
      <c r="I832" s="318"/>
      <c r="J832" s="318"/>
      <c r="K832" s="10"/>
      <c r="L832" s="29"/>
      <c r="M832" s="82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</row>
    <row r="833" spans="1:36" s="18" customFormat="1" ht="24.75" customHeight="1">
      <c r="A833" s="291" t="s">
        <v>26</v>
      </c>
      <c r="B833" s="290">
        <f>C833*1.19</f>
        <v>29.75</v>
      </c>
      <c r="C833" s="376">
        <v>25</v>
      </c>
      <c r="D833" s="329"/>
      <c r="E833" s="367"/>
      <c r="F833" s="367"/>
      <c r="G833" s="367"/>
      <c r="H833" s="329"/>
      <c r="I833" s="318"/>
      <c r="J833" s="318"/>
      <c r="K833" s="10"/>
      <c r="L833" s="29"/>
      <c r="M833" s="82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</row>
    <row r="834" spans="1:36" s="18" customFormat="1" ht="24.75" customHeight="1">
      <c r="A834" s="298" t="s">
        <v>265</v>
      </c>
      <c r="B834" s="376">
        <v>5</v>
      </c>
      <c r="C834" s="376">
        <v>5</v>
      </c>
      <c r="D834" s="376"/>
      <c r="E834" s="367"/>
      <c r="F834" s="367"/>
      <c r="G834" s="367"/>
      <c r="H834" s="329"/>
      <c r="I834" s="318"/>
      <c r="J834" s="318"/>
      <c r="K834" s="14"/>
      <c r="L834" s="29"/>
      <c r="M834" s="82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</row>
    <row r="835" spans="1:36" s="18" customFormat="1" ht="24.75" customHeight="1">
      <c r="A835" s="285" t="s">
        <v>25</v>
      </c>
      <c r="B835" s="290">
        <f>C835*1.25</f>
        <v>75</v>
      </c>
      <c r="C835" s="286">
        <v>60</v>
      </c>
      <c r="D835" s="290"/>
      <c r="E835" s="287"/>
      <c r="F835" s="287"/>
      <c r="G835" s="287"/>
      <c r="H835" s="290"/>
      <c r="I835" s="288"/>
      <c r="J835" s="288"/>
      <c r="K835" s="14"/>
      <c r="L835" s="29"/>
      <c r="M835" s="82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</row>
    <row r="836" spans="1:36" s="18" customFormat="1" ht="24.75" customHeight="1">
      <c r="A836" s="285" t="s">
        <v>19</v>
      </c>
      <c r="B836" s="290">
        <f>C836*1.33</f>
        <v>79.80000000000001</v>
      </c>
      <c r="C836" s="286">
        <v>60</v>
      </c>
      <c r="D836" s="290"/>
      <c r="E836" s="287"/>
      <c r="F836" s="287"/>
      <c r="G836" s="287"/>
      <c r="H836" s="290"/>
      <c r="I836" s="288"/>
      <c r="J836" s="288"/>
      <c r="K836" s="14"/>
      <c r="L836" s="29"/>
      <c r="M836" s="82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</row>
    <row r="837" spans="1:36" s="18" customFormat="1" ht="24.75" customHeight="1">
      <c r="A837" s="501" t="s">
        <v>37</v>
      </c>
      <c r="B837" s="501"/>
      <c r="C837" s="501"/>
      <c r="D837" s="113">
        <v>200</v>
      </c>
      <c r="E837" s="36">
        <v>0.2</v>
      </c>
      <c r="F837" s="36">
        <v>0</v>
      </c>
      <c r="G837" s="36">
        <v>10.9</v>
      </c>
      <c r="H837" s="75">
        <f>E837*4+F837*9+G837*4</f>
        <v>44.4</v>
      </c>
      <c r="I837" s="192">
        <v>0</v>
      </c>
      <c r="J837" s="192" t="s">
        <v>344</v>
      </c>
      <c r="K837" s="14"/>
      <c r="L837" s="29"/>
      <c r="M837" s="82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</row>
    <row r="838" spans="1:36" s="18" customFormat="1" ht="24.75" customHeight="1">
      <c r="A838" s="269" t="s">
        <v>16</v>
      </c>
      <c r="B838" s="270">
        <v>0.4</v>
      </c>
      <c r="C838" s="270">
        <v>0.4</v>
      </c>
      <c r="D838" s="270"/>
      <c r="E838" s="271"/>
      <c r="F838" s="271"/>
      <c r="G838" s="271"/>
      <c r="H838" s="272"/>
      <c r="I838" s="273"/>
      <c r="J838" s="273"/>
      <c r="K838" s="14"/>
      <c r="L838" s="29"/>
      <c r="M838" s="82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</row>
    <row r="839" spans="1:36" s="18" customFormat="1" ht="24.75" customHeight="1">
      <c r="A839" s="269" t="s">
        <v>156</v>
      </c>
      <c r="B839" s="270">
        <v>12</v>
      </c>
      <c r="C839" s="270">
        <v>12</v>
      </c>
      <c r="D839" s="270"/>
      <c r="E839" s="271"/>
      <c r="F839" s="271"/>
      <c r="G839" s="271"/>
      <c r="H839" s="271"/>
      <c r="I839" s="273"/>
      <c r="J839" s="271"/>
      <c r="K839" s="14"/>
      <c r="L839" s="29"/>
      <c r="M839" s="82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</row>
    <row r="840" spans="1:36" s="18" customFormat="1" ht="24.75" customHeight="1">
      <c r="A840" s="506" t="s">
        <v>70</v>
      </c>
      <c r="B840" s="506"/>
      <c r="C840" s="506"/>
      <c r="D840" s="227">
        <v>50</v>
      </c>
      <c r="E840" s="201">
        <v>3.3</v>
      </c>
      <c r="F840" s="201">
        <v>0.6</v>
      </c>
      <c r="G840" s="201">
        <v>16.7</v>
      </c>
      <c r="H840" s="202">
        <v>85.39999999999999</v>
      </c>
      <c r="I840" s="263">
        <v>0</v>
      </c>
      <c r="J840" s="263"/>
      <c r="K840" s="14"/>
      <c r="L840" s="29"/>
      <c r="M840" s="82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</row>
    <row r="841" spans="1:36" s="18" customFormat="1" ht="24.75" customHeight="1">
      <c r="A841" s="501" t="s">
        <v>267</v>
      </c>
      <c r="B841" s="501"/>
      <c r="C841" s="501"/>
      <c r="D841" s="113">
        <v>30</v>
      </c>
      <c r="E841" s="36">
        <v>2.4599999999999995</v>
      </c>
      <c r="F841" s="36">
        <v>0.4200000000000001</v>
      </c>
      <c r="G841" s="36">
        <v>11.4</v>
      </c>
      <c r="H841" s="75">
        <v>47.04</v>
      </c>
      <c r="I841" s="192">
        <v>0</v>
      </c>
      <c r="J841" s="192"/>
      <c r="K841" s="14"/>
      <c r="L841" s="29"/>
      <c r="M841" s="82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</row>
    <row r="842" spans="1:36" s="18" customFormat="1" ht="24.75" customHeight="1">
      <c r="A842" s="499" t="s">
        <v>220</v>
      </c>
      <c r="B842" s="500"/>
      <c r="C842" s="500"/>
      <c r="D842" s="500"/>
      <c r="E842" s="500"/>
      <c r="F842" s="500"/>
      <c r="G842" s="500"/>
      <c r="H842" s="500"/>
      <c r="I842" s="500"/>
      <c r="J842" s="512"/>
      <c r="K842" s="14"/>
      <c r="L842" s="29"/>
      <c r="M842" s="82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</row>
    <row r="843" spans="1:36" s="18" customFormat="1" ht="24.75" customHeight="1">
      <c r="A843" s="332" t="s">
        <v>246</v>
      </c>
      <c r="B843" s="265">
        <v>206</v>
      </c>
      <c r="C843" s="281">
        <v>200</v>
      </c>
      <c r="D843" s="227">
        <v>200</v>
      </c>
      <c r="E843" s="201">
        <v>4.2</v>
      </c>
      <c r="F843" s="201">
        <v>4.8</v>
      </c>
      <c r="G843" s="201">
        <v>8</v>
      </c>
      <c r="H843" s="202">
        <f>E843*4+F843*9+G843*4</f>
        <v>92</v>
      </c>
      <c r="I843" s="263">
        <v>1.37</v>
      </c>
      <c r="J843" s="263" t="s">
        <v>364</v>
      </c>
      <c r="K843" s="14"/>
      <c r="L843" s="29"/>
      <c r="M843" s="82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</row>
    <row r="844" spans="1:11" ht="24.75" customHeight="1">
      <c r="A844" s="482" t="s">
        <v>140</v>
      </c>
      <c r="B844" s="482"/>
      <c r="C844" s="482"/>
      <c r="D844" s="482"/>
      <c r="E844" s="334">
        <f>E842+E820+E816+E772+E752+E770</f>
        <v>76.52</v>
      </c>
      <c r="F844" s="348">
        <f>F842+F820+F816+F772+F752+F770</f>
        <v>85.54</v>
      </c>
      <c r="G844" s="348">
        <f>G842+G820+G816+G772+G752+G770</f>
        <v>370.17999999999995</v>
      </c>
      <c r="H844" s="352">
        <f>H842+H820+H816+H772+H752+H770</f>
        <v>2543.92</v>
      </c>
      <c r="I844" s="386">
        <f>I842+I820+I816+I772+I752+I770</f>
        <v>162</v>
      </c>
      <c r="J844" s="334"/>
      <c r="K844" s="14"/>
    </row>
    <row r="845" spans="1:36" s="18" customFormat="1" ht="24.75" customHeight="1">
      <c r="A845" s="486" t="s">
        <v>0</v>
      </c>
      <c r="B845" s="487"/>
      <c r="C845" s="487"/>
      <c r="D845" s="487"/>
      <c r="E845" s="487"/>
      <c r="F845" s="487"/>
      <c r="G845" s="487"/>
      <c r="H845" s="487"/>
      <c r="I845" s="487"/>
      <c r="J845" s="488"/>
      <c r="K845" s="14"/>
      <c r="L845" s="29"/>
      <c r="M845" s="82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</row>
    <row r="846" spans="1:36" s="18" customFormat="1" ht="24.75" customHeight="1">
      <c r="A846" s="486" t="s">
        <v>49</v>
      </c>
      <c r="B846" s="487"/>
      <c r="C846" s="487"/>
      <c r="D846" s="487"/>
      <c r="E846" s="487"/>
      <c r="F846" s="487"/>
      <c r="G846" s="487"/>
      <c r="H846" s="487"/>
      <c r="I846" s="487"/>
      <c r="J846" s="488"/>
      <c r="K846" s="14"/>
      <c r="L846" s="29"/>
      <c r="M846" s="82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</row>
    <row r="847" spans="1:36" s="18" customFormat="1" ht="24.75" customHeight="1">
      <c r="A847" s="498" t="s">
        <v>2</v>
      </c>
      <c r="B847" s="497" t="s">
        <v>3</v>
      </c>
      <c r="C847" s="497" t="s">
        <v>4</v>
      </c>
      <c r="D847" s="498" t="s">
        <v>5</v>
      </c>
      <c r="E847" s="498"/>
      <c r="F847" s="498"/>
      <c r="G847" s="498"/>
      <c r="H847" s="498"/>
      <c r="I847" s="498"/>
      <c r="J847" s="526" t="s">
        <v>302</v>
      </c>
      <c r="K847" s="14"/>
      <c r="L847" s="29"/>
      <c r="M847" s="82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</row>
    <row r="848" spans="1:36" s="18" customFormat="1" ht="24.75" customHeight="1">
      <c r="A848" s="498"/>
      <c r="B848" s="497"/>
      <c r="C848" s="497"/>
      <c r="D848" s="497" t="s">
        <v>6</v>
      </c>
      <c r="E848" s="485" t="s">
        <v>7</v>
      </c>
      <c r="F848" s="485" t="s">
        <v>8</v>
      </c>
      <c r="G848" s="485" t="s">
        <v>9</v>
      </c>
      <c r="H848" s="494" t="s">
        <v>10</v>
      </c>
      <c r="I848" s="527" t="s">
        <v>303</v>
      </c>
      <c r="J848" s="526"/>
      <c r="K848" s="14"/>
      <c r="L848" s="29"/>
      <c r="M848" s="82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</row>
    <row r="849" spans="1:36" s="18" customFormat="1" ht="24.75" customHeight="1">
      <c r="A849" s="498"/>
      <c r="B849" s="497"/>
      <c r="C849" s="497"/>
      <c r="D849" s="497"/>
      <c r="E849" s="485"/>
      <c r="F849" s="485"/>
      <c r="G849" s="485"/>
      <c r="H849" s="494"/>
      <c r="I849" s="527"/>
      <c r="J849" s="526"/>
      <c r="K849" s="14"/>
      <c r="L849" s="29"/>
      <c r="M849" s="82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</row>
    <row r="850" spans="1:36" s="18" customFormat="1" ht="24.75" customHeight="1">
      <c r="A850" s="510" t="s">
        <v>11</v>
      </c>
      <c r="B850" s="510"/>
      <c r="C850" s="510"/>
      <c r="D850" s="510"/>
      <c r="E850" s="36">
        <f>E851++E858+E862++E867</f>
        <v>13.299999999999999</v>
      </c>
      <c r="F850" s="36">
        <f>F851++F858+F862++F867</f>
        <v>22.4</v>
      </c>
      <c r="G850" s="36">
        <f>G851++G858+G862++G867</f>
        <v>83</v>
      </c>
      <c r="H850" s="75">
        <f>H851++H858+H862++H867</f>
        <v>582.8000000000001</v>
      </c>
      <c r="I850" s="192">
        <f>I851++I858+I862++I867</f>
        <v>13.43</v>
      </c>
      <c r="J850" s="36"/>
      <c r="K850" s="14"/>
      <c r="L850" s="29"/>
      <c r="M850" s="82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</row>
    <row r="851" spans="1:36" s="18" customFormat="1" ht="24.75" customHeight="1">
      <c r="A851" s="501" t="s">
        <v>193</v>
      </c>
      <c r="B851" s="501"/>
      <c r="C851" s="501"/>
      <c r="D851" s="113" t="s">
        <v>236</v>
      </c>
      <c r="E851" s="36">
        <v>7.8</v>
      </c>
      <c r="F851" s="36">
        <v>9.1</v>
      </c>
      <c r="G851" s="36">
        <v>35.5</v>
      </c>
      <c r="H851" s="75">
        <f>E851*4+F851*9+G851*4</f>
        <v>255.1</v>
      </c>
      <c r="I851" s="192">
        <v>0.49</v>
      </c>
      <c r="J851" s="263" t="s">
        <v>503</v>
      </c>
      <c r="K851" s="14"/>
      <c r="L851" s="29"/>
      <c r="M851" s="82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</row>
    <row r="852" spans="1:36" s="18" customFormat="1" ht="24.75" customHeight="1">
      <c r="A852" s="269" t="s">
        <v>61</v>
      </c>
      <c r="B852" s="270">
        <v>40</v>
      </c>
      <c r="C852" s="270">
        <v>40</v>
      </c>
      <c r="D852" s="75"/>
      <c r="E852" s="36"/>
      <c r="F852" s="36"/>
      <c r="G852" s="36"/>
      <c r="H852" s="75"/>
      <c r="I852" s="192"/>
      <c r="J852" s="192"/>
      <c r="K852" s="14"/>
      <c r="L852" s="29"/>
      <c r="M852" s="82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</row>
    <row r="853" spans="1:36" s="18" customFormat="1" ht="24.75" customHeight="1">
      <c r="A853" s="280" t="s">
        <v>148</v>
      </c>
      <c r="B853" s="265">
        <v>175</v>
      </c>
      <c r="C853" s="265">
        <v>175</v>
      </c>
      <c r="D853" s="202"/>
      <c r="E853" s="201"/>
      <c r="F853" s="201"/>
      <c r="G853" s="201"/>
      <c r="H853" s="202"/>
      <c r="I853" s="263"/>
      <c r="J853" s="263"/>
      <c r="K853" s="14"/>
      <c r="L853" s="29"/>
      <c r="M853" s="82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</row>
    <row r="854" spans="1:36" s="18" customFormat="1" ht="24.75" customHeight="1">
      <c r="A854" s="285" t="s">
        <v>12</v>
      </c>
      <c r="B854" s="270">
        <v>6</v>
      </c>
      <c r="C854" s="270">
        <v>6</v>
      </c>
      <c r="D854" s="75"/>
      <c r="E854" s="36"/>
      <c r="F854" s="36"/>
      <c r="G854" s="36"/>
      <c r="H854" s="75"/>
      <c r="I854" s="192"/>
      <c r="J854" s="192"/>
      <c r="K854" s="14"/>
      <c r="L854" s="29"/>
      <c r="M854" s="82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</row>
    <row r="855" spans="1:36" s="18" customFormat="1" ht="24.75" customHeight="1">
      <c r="A855" s="285" t="s">
        <v>108</v>
      </c>
      <c r="B855" s="270">
        <v>30</v>
      </c>
      <c r="C855" s="270">
        <v>30</v>
      </c>
      <c r="D855" s="75"/>
      <c r="E855" s="36"/>
      <c r="F855" s="36"/>
      <c r="G855" s="36"/>
      <c r="H855" s="75"/>
      <c r="I855" s="192"/>
      <c r="J855" s="192"/>
      <c r="K855" s="14"/>
      <c r="L855" s="29"/>
      <c r="M855" s="82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</row>
    <row r="856" spans="1:36" s="18" customFormat="1" ht="24.75" customHeight="1">
      <c r="A856" s="276" t="s">
        <v>171</v>
      </c>
      <c r="B856" s="272">
        <v>44</v>
      </c>
      <c r="C856" s="272">
        <v>31</v>
      </c>
      <c r="D856" s="75"/>
      <c r="E856" s="36"/>
      <c r="F856" s="271"/>
      <c r="G856" s="271"/>
      <c r="H856" s="272"/>
      <c r="I856" s="273"/>
      <c r="J856" s="273"/>
      <c r="K856" s="14"/>
      <c r="L856" s="29"/>
      <c r="M856" s="82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</row>
    <row r="857" spans="1:11" ht="24.75" customHeight="1">
      <c r="A857" s="269" t="s">
        <v>27</v>
      </c>
      <c r="B857" s="270">
        <v>10</v>
      </c>
      <c r="C857" s="270">
        <v>10</v>
      </c>
      <c r="D857" s="75"/>
      <c r="E857" s="36"/>
      <c r="F857" s="271"/>
      <c r="G857" s="271"/>
      <c r="H857" s="272"/>
      <c r="I857" s="273"/>
      <c r="J857" s="273"/>
      <c r="K857" s="15"/>
    </row>
    <row r="858" spans="1:11" ht="24.75" customHeight="1">
      <c r="A858" s="501" t="s">
        <v>175</v>
      </c>
      <c r="B858" s="501"/>
      <c r="C858" s="501"/>
      <c r="D858" s="275" t="s">
        <v>557</v>
      </c>
      <c r="E858" s="36">
        <v>4.9</v>
      </c>
      <c r="F858" s="36">
        <v>13.3</v>
      </c>
      <c r="G858" s="36">
        <v>14.2</v>
      </c>
      <c r="H858" s="75">
        <f>E858*4+F858*9+G858*4</f>
        <v>196.10000000000002</v>
      </c>
      <c r="I858" s="192">
        <v>0.14</v>
      </c>
      <c r="J858" s="192" t="s">
        <v>343</v>
      </c>
      <c r="K858" s="15"/>
    </row>
    <row r="859" spans="1:36" s="18" customFormat="1" ht="24.75" customHeight="1">
      <c r="A859" s="276" t="s">
        <v>348</v>
      </c>
      <c r="B859" s="270">
        <v>30</v>
      </c>
      <c r="C859" s="270">
        <v>30</v>
      </c>
      <c r="D859" s="270"/>
      <c r="E859" s="271"/>
      <c r="F859" s="271"/>
      <c r="G859" s="271"/>
      <c r="H859" s="272"/>
      <c r="I859" s="273"/>
      <c r="J859" s="273"/>
      <c r="K859" s="15"/>
      <c r="L859" s="29"/>
      <c r="M859" s="82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</row>
    <row r="860" spans="1:11" ht="24.75" customHeight="1">
      <c r="A860" s="269" t="s">
        <v>178</v>
      </c>
      <c r="B860" s="270">
        <v>21</v>
      </c>
      <c r="C860" s="270">
        <v>20</v>
      </c>
      <c r="D860" s="270"/>
      <c r="E860" s="271"/>
      <c r="F860" s="271"/>
      <c r="G860" s="271"/>
      <c r="H860" s="272"/>
      <c r="I860" s="273"/>
      <c r="J860" s="273"/>
      <c r="K860" s="15"/>
    </row>
    <row r="861" spans="1:36" s="18" customFormat="1" ht="24.75" customHeight="1">
      <c r="A861" s="269" t="s">
        <v>27</v>
      </c>
      <c r="B861" s="270">
        <v>10</v>
      </c>
      <c r="C861" s="270">
        <v>10</v>
      </c>
      <c r="D861" s="270"/>
      <c r="E861" s="271"/>
      <c r="F861" s="271"/>
      <c r="G861" s="271"/>
      <c r="H861" s="272"/>
      <c r="I861" s="273"/>
      <c r="J861" s="273"/>
      <c r="K861" s="15"/>
      <c r="L861" s="29"/>
      <c r="M861" s="82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</row>
    <row r="862" spans="1:11" ht="24.75" customHeight="1">
      <c r="A862" s="501" t="s">
        <v>14</v>
      </c>
      <c r="B862" s="501"/>
      <c r="C862" s="501"/>
      <c r="D862" s="113" t="s">
        <v>15</v>
      </c>
      <c r="E862" s="36">
        <v>0.2</v>
      </c>
      <c r="F862" s="36">
        <v>0</v>
      </c>
      <c r="G862" s="36">
        <v>15.3</v>
      </c>
      <c r="H862" s="75">
        <v>58</v>
      </c>
      <c r="I862" s="192">
        <v>0.8</v>
      </c>
      <c r="J862" s="364" t="s">
        <v>334</v>
      </c>
      <c r="K862" s="15"/>
    </row>
    <row r="863" spans="1:11" ht="24.75" customHeight="1">
      <c r="A863" s="269" t="s">
        <v>16</v>
      </c>
      <c r="B863" s="270">
        <v>0.4</v>
      </c>
      <c r="C863" s="270">
        <v>0.4</v>
      </c>
      <c r="D863" s="270"/>
      <c r="E863" s="271"/>
      <c r="F863" s="271"/>
      <c r="G863" s="271"/>
      <c r="H863" s="272"/>
      <c r="I863" s="273"/>
      <c r="J863" s="288"/>
      <c r="K863" s="15"/>
    </row>
    <row r="864" spans="1:36" s="18" customFormat="1" ht="24.75" customHeight="1">
      <c r="A864" s="285" t="s">
        <v>12</v>
      </c>
      <c r="B864" s="270">
        <v>15</v>
      </c>
      <c r="C864" s="270">
        <v>15</v>
      </c>
      <c r="D864" s="270"/>
      <c r="E864" s="271"/>
      <c r="F864" s="271"/>
      <c r="G864" s="271"/>
      <c r="H864" s="272"/>
      <c r="I864" s="273"/>
      <c r="J864" s="288"/>
      <c r="K864" s="15"/>
      <c r="L864" s="29"/>
      <c r="M864" s="82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</row>
    <row r="865" spans="1:36" s="18" customFormat="1" ht="24.75" customHeight="1">
      <c r="A865" s="285" t="s">
        <v>17</v>
      </c>
      <c r="B865" s="270">
        <v>6</v>
      </c>
      <c r="C865" s="270">
        <v>5</v>
      </c>
      <c r="D865" s="270"/>
      <c r="E865" s="271"/>
      <c r="F865" s="271"/>
      <c r="G865" s="271"/>
      <c r="H865" s="271"/>
      <c r="I865" s="273"/>
      <c r="J865" s="288"/>
      <c r="K865" s="15"/>
      <c r="L865" s="29"/>
      <c r="M865" s="82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</row>
    <row r="866" spans="1:36" s="18" customFormat="1" ht="24.75" customHeight="1">
      <c r="A866" s="499" t="s">
        <v>150</v>
      </c>
      <c r="B866" s="500"/>
      <c r="C866" s="500"/>
      <c r="D866" s="500"/>
      <c r="E866" s="500"/>
      <c r="F866" s="500"/>
      <c r="G866" s="500"/>
      <c r="H866" s="500"/>
      <c r="I866" s="500"/>
      <c r="J866" s="512"/>
      <c r="K866" s="15"/>
      <c r="L866" s="29"/>
      <c r="M866" s="82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</row>
    <row r="867" spans="1:36" s="18" customFormat="1" ht="24.75" customHeight="1">
      <c r="A867" s="492" t="s">
        <v>337</v>
      </c>
      <c r="B867" s="492"/>
      <c r="C867" s="492"/>
      <c r="D867" s="282">
        <v>180</v>
      </c>
      <c r="E867" s="201">
        <v>0.4</v>
      </c>
      <c r="F867" s="279">
        <v>0</v>
      </c>
      <c r="G867" s="201">
        <v>18</v>
      </c>
      <c r="H867" s="202">
        <f>E867*4+F867*9+G867*4</f>
        <v>73.6</v>
      </c>
      <c r="I867" s="263">
        <v>12</v>
      </c>
      <c r="J867" s="263"/>
      <c r="K867" s="15"/>
      <c r="L867" s="29"/>
      <c r="M867" s="82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</row>
    <row r="868" spans="1:11" ht="24.75" customHeight="1">
      <c r="A868" s="510" t="s">
        <v>18</v>
      </c>
      <c r="B868" s="510"/>
      <c r="C868" s="510"/>
      <c r="D868" s="510"/>
      <c r="E868" s="36">
        <f>SUM(E869:E912)</f>
        <v>34.07714285714286</v>
      </c>
      <c r="F868" s="36">
        <f>SUM(F869:F912)</f>
        <v>30.97333333333333</v>
      </c>
      <c r="G868" s="36">
        <f>SUM(G869:G912)</f>
        <v>133.08</v>
      </c>
      <c r="H868" s="75">
        <f>SUM(H869:H912)</f>
        <v>946.8285714285714</v>
      </c>
      <c r="I868" s="192">
        <f>SUM(I869:I912)</f>
        <v>24.169999999999998</v>
      </c>
      <c r="J868" s="36"/>
      <c r="K868" s="11"/>
    </row>
    <row r="869" spans="1:36" s="18" customFormat="1" ht="24.75" customHeight="1">
      <c r="A869" s="311" t="s">
        <v>532</v>
      </c>
      <c r="B869" s="113"/>
      <c r="C869" s="113"/>
      <c r="D869" s="113">
        <v>80</v>
      </c>
      <c r="E869" s="36">
        <v>0.45714285714285713</v>
      </c>
      <c r="F869" s="36">
        <v>0</v>
      </c>
      <c r="G869" s="36">
        <v>2.4</v>
      </c>
      <c r="H869" s="75">
        <f>E869*4+F869*9+G869*4</f>
        <v>11.428571428571429</v>
      </c>
      <c r="I869" s="263">
        <v>13.72</v>
      </c>
      <c r="J869" s="263" t="s">
        <v>334</v>
      </c>
      <c r="K869" s="67"/>
      <c r="L869" s="29"/>
      <c r="M869" s="82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</row>
    <row r="870" spans="1:36" s="18" customFormat="1" ht="24.75" customHeight="1">
      <c r="A870" s="276" t="s">
        <v>120</v>
      </c>
      <c r="B870" s="272">
        <f>C870*1.02</f>
        <v>40.8</v>
      </c>
      <c r="C870" s="270">
        <v>40</v>
      </c>
      <c r="D870" s="113"/>
      <c r="E870" s="36"/>
      <c r="F870" s="36"/>
      <c r="G870" s="36"/>
      <c r="H870" s="75"/>
      <c r="I870" s="192"/>
      <c r="J870" s="192"/>
      <c r="K870" s="11"/>
      <c r="L870" s="29"/>
      <c r="M870" s="82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</row>
    <row r="871" spans="1:36" s="18" customFormat="1" ht="24.75" customHeight="1">
      <c r="A871" s="285" t="s">
        <v>215</v>
      </c>
      <c r="B871" s="272">
        <f>C871*1.18</f>
        <v>47.199999999999996</v>
      </c>
      <c r="C871" s="270">
        <v>40</v>
      </c>
      <c r="D871" s="113"/>
      <c r="E871" s="36"/>
      <c r="F871" s="36"/>
      <c r="G871" s="36"/>
      <c r="H871" s="75"/>
      <c r="I871" s="192"/>
      <c r="J871" s="192"/>
      <c r="K871" s="11"/>
      <c r="L871" s="29"/>
      <c r="M871" s="82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</row>
    <row r="872" spans="1:36" s="18" customFormat="1" ht="24.75" customHeight="1">
      <c r="A872" s="285" t="s">
        <v>158</v>
      </c>
      <c r="B872" s="290">
        <f>C872*1.02</f>
        <v>40.8</v>
      </c>
      <c r="C872" s="290">
        <v>40</v>
      </c>
      <c r="D872" s="423"/>
      <c r="E872" s="292"/>
      <c r="F872" s="292"/>
      <c r="G872" s="292"/>
      <c r="H872" s="307"/>
      <c r="I872" s="364"/>
      <c r="J872" s="364"/>
      <c r="K872" s="11"/>
      <c r="L872" s="29"/>
      <c r="M872" s="82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</row>
    <row r="873" spans="1:36" s="18" customFormat="1" ht="24.75" customHeight="1">
      <c r="A873" s="285" t="s">
        <v>213</v>
      </c>
      <c r="B873" s="290">
        <f>C873*1.05</f>
        <v>42</v>
      </c>
      <c r="C873" s="290">
        <v>40</v>
      </c>
      <c r="D873" s="423"/>
      <c r="E873" s="292"/>
      <c r="F873" s="292"/>
      <c r="G873" s="292"/>
      <c r="H873" s="307"/>
      <c r="I873" s="364"/>
      <c r="J873" s="364"/>
      <c r="K873" s="11"/>
      <c r="L873" s="29"/>
      <c r="M873" s="82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</row>
    <row r="874" spans="1:36" s="18" customFormat="1" ht="30.75" customHeight="1">
      <c r="A874" s="511" t="s">
        <v>466</v>
      </c>
      <c r="B874" s="511"/>
      <c r="C874" s="511"/>
      <c r="D874" s="113" t="s">
        <v>243</v>
      </c>
      <c r="E874" s="36">
        <v>4.7</v>
      </c>
      <c r="F874" s="36">
        <v>8.7</v>
      </c>
      <c r="G874" s="36">
        <v>26</v>
      </c>
      <c r="H874" s="75">
        <f>E874*4+F874*9+G874*4</f>
        <v>201.1</v>
      </c>
      <c r="I874" s="192">
        <v>7.85</v>
      </c>
      <c r="J874" s="192" t="s">
        <v>371</v>
      </c>
      <c r="K874" s="11"/>
      <c r="L874" s="29"/>
      <c r="M874" s="82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</row>
    <row r="875" spans="1:36" s="18" customFormat="1" ht="24.75" customHeight="1">
      <c r="A875" s="285" t="s">
        <v>21</v>
      </c>
      <c r="B875" s="290">
        <f>C875*1.33</f>
        <v>86.45</v>
      </c>
      <c r="C875" s="321">
        <v>65</v>
      </c>
      <c r="D875" s="281"/>
      <c r="E875" s="283"/>
      <c r="F875" s="283"/>
      <c r="G875" s="283"/>
      <c r="H875" s="281"/>
      <c r="I875" s="284"/>
      <c r="J875" s="284"/>
      <c r="K875" s="11"/>
      <c r="L875" s="29"/>
      <c r="M875" s="82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</row>
    <row r="876" spans="1:36" s="18" customFormat="1" ht="24.75" customHeight="1">
      <c r="A876" s="285" t="s">
        <v>22</v>
      </c>
      <c r="B876" s="290">
        <f>C876*1.43</f>
        <v>92.95</v>
      </c>
      <c r="C876" s="321">
        <v>65</v>
      </c>
      <c r="D876" s="438"/>
      <c r="E876" s="36"/>
      <c r="F876" s="36"/>
      <c r="G876" s="36"/>
      <c r="H876" s="75"/>
      <c r="I876" s="192"/>
      <c r="J876" s="192"/>
      <c r="K876" s="11"/>
      <c r="L876" s="29"/>
      <c r="M876" s="82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</row>
    <row r="877" spans="1:36" s="18" customFormat="1" ht="24.75" customHeight="1">
      <c r="A877" s="285" t="s">
        <v>23</v>
      </c>
      <c r="B877" s="290">
        <f>C877*1.54</f>
        <v>100.10000000000001</v>
      </c>
      <c r="C877" s="321">
        <v>65</v>
      </c>
      <c r="D877" s="438"/>
      <c r="E877" s="287"/>
      <c r="F877" s="287"/>
      <c r="G877" s="287"/>
      <c r="H877" s="287"/>
      <c r="I877" s="288"/>
      <c r="J877" s="288"/>
      <c r="K877" s="14"/>
      <c r="L877" s="29"/>
      <c r="M877" s="82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</row>
    <row r="878" spans="1:36" s="18" customFormat="1" ht="24.75" customHeight="1">
      <c r="A878" s="285" t="s">
        <v>24</v>
      </c>
      <c r="B878" s="290">
        <f>C878*1.67</f>
        <v>108.55</v>
      </c>
      <c r="C878" s="321">
        <v>65</v>
      </c>
      <c r="D878" s="438"/>
      <c r="E878" s="287"/>
      <c r="F878" s="287"/>
      <c r="G878" s="287"/>
      <c r="H878" s="290"/>
      <c r="I878" s="288"/>
      <c r="J878" s="288"/>
      <c r="K878" s="14"/>
      <c r="L878" s="29"/>
      <c r="M878" s="82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</row>
    <row r="879" spans="1:36" s="18" customFormat="1" ht="24.75" customHeight="1">
      <c r="A879" s="285" t="s">
        <v>25</v>
      </c>
      <c r="B879" s="287">
        <f>C879*1.25</f>
        <v>17.5</v>
      </c>
      <c r="C879" s="286">
        <v>14</v>
      </c>
      <c r="D879" s="438"/>
      <c r="E879" s="287"/>
      <c r="F879" s="287"/>
      <c r="G879" s="287"/>
      <c r="H879" s="290"/>
      <c r="I879" s="288"/>
      <c r="J879" s="288"/>
      <c r="K879" s="41"/>
      <c r="L879" s="29"/>
      <c r="M879" s="82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</row>
    <row r="880" spans="1:36" s="18" customFormat="1" ht="24.75" customHeight="1">
      <c r="A880" s="285" t="s">
        <v>19</v>
      </c>
      <c r="B880" s="287">
        <f>C880*1.33</f>
        <v>18.62</v>
      </c>
      <c r="C880" s="286">
        <v>14</v>
      </c>
      <c r="D880" s="438"/>
      <c r="E880" s="287"/>
      <c r="F880" s="287"/>
      <c r="G880" s="287"/>
      <c r="H880" s="290"/>
      <c r="I880" s="288"/>
      <c r="J880" s="288"/>
      <c r="K880" s="41"/>
      <c r="L880" s="29"/>
      <c r="M880" s="82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</row>
    <row r="881" spans="1:36" s="18" customFormat="1" ht="24.75" customHeight="1">
      <c r="A881" s="285" t="s">
        <v>26</v>
      </c>
      <c r="B881" s="290">
        <f>C881*1.19</f>
        <v>16.66</v>
      </c>
      <c r="C881" s="286">
        <v>14</v>
      </c>
      <c r="D881" s="438"/>
      <c r="E881" s="287"/>
      <c r="F881" s="287"/>
      <c r="G881" s="287"/>
      <c r="H881" s="290"/>
      <c r="I881" s="288"/>
      <c r="J881" s="288"/>
      <c r="K881" s="10"/>
      <c r="L881" s="29"/>
      <c r="M881" s="82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</row>
    <row r="882" spans="1:36" s="18" customFormat="1" ht="24.75" customHeight="1">
      <c r="A882" s="285" t="s">
        <v>45</v>
      </c>
      <c r="B882" s="290">
        <f>C882*1.25</f>
        <v>35</v>
      </c>
      <c r="C882" s="286">
        <v>28</v>
      </c>
      <c r="D882" s="438"/>
      <c r="E882" s="287"/>
      <c r="F882" s="287"/>
      <c r="G882" s="287"/>
      <c r="H882" s="290"/>
      <c r="I882" s="288"/>
      <c r="J882" s="288"/>
      <c r="K882" s="14"/>
      <c r="L882" s="29"/>
      <c r="M882" s="82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</row>
    <row r="883" spans="1:36" s="18" customFormat="1" ht="24.75" customHeight="1">
      <c r="A883" s="298" t="s">
        <v>144</v>
      </c>
      <c r="B883" s="286">
        <v>39</v>
      </c>
      <c r="C883" s="286">
        <v>38</v>
      </c>
      <c r="D883" s="438"/>
      <c r="E883" s="287"/>
      <c r="F883" s="287"/>
      <c r="G883" s="287"/>
      <c r="H883" s="290"/>
      <c r="I883" s="288"/>
      <c r="J883" s="288"/>
      <c r="K883" s="14"/>
      <c r="L883" s="29"/>
      <c r="M883" s="82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</row>
    <row r="884" spans="1:36" s="18" customFormat="1" ht="24.75" customHeight="1">
      <c r="A884" s="276" t="s">
        <v>40</v>
      </c>
      <c r="B884" s="290">
        <f>C884*1.54</f>
        <v>16.94</v>
      </c>
      <c r="C884" s="286">
        <v>11</v>
      </c>
      <c r="D884" s="438"/>
      <c r="E884" s="287"/>
      <c r="F884" s="287"/>
      <c r="G884" s="287"/>
      <c r="H884" s="290"/>
      <c r="I884" s="288"/>
      <c r="J884" s="288"/>
      <c r="K884" s="14"/>
      <c r="L884" s="29"/>
      <c r="M884" s="82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</row>
    <row r="885" spans="1:36" s="18" customFormat="1" ht="24.75" customHeight="1">
      <c r="A885" s="285" t="s">
        <v>27</v>
      </c>
      <c r="B885" s="286">
        <v>8</v>
      </c>
      <c r="C885" s="286">
        <v>8</v>
      </c>
      <c r="D885" s="438"/>
      <c r="E885" s="287"/>
      <c r="F885" s="287"/>
      <c r="G885" s="287"/>
      <c r="H885" s="290"/>
      <c r="I885" s="288"/>
      <c r="J885" s="288"/>
      <c r="K885" s="14"/>
      <c r="L885" s="29"/>
      <c r="M885" s="82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</row>
    <row r="886" spans="1:36" s="18" customFormat="1" ht="24.75" customHeight="1">
      <c r="A886" s="306" t="s">
        <v>195</v>
      </c>
      <c r="B886" s="286"/>
      <c r="C886" s="278">
        <v>30</v>
      </c>
      <c r="D886" s="286"/>
      <c r="E886" s="287"/>
      <c r="F886" s="287"/>
      <c r="G886" s="287"/>
      <c r="H886" s="290"/>
      <c r="I886" s="288"/>
      <c r="J886" s="288"/>
      <c r="K886" s="14"/>
      <c r="L886" s="29"/>
      <c r="M886" s="82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</row>
    <row r="887" spans="1:36" s="18" customFormat="1" ht="24.75" customHeight="1">
      <c r="A887" s="302" t="s">
        <v>67</v>
      </c>
      <c r="B887" s="325">
        <f>C887*1.18</f>
        <v>41.3</v>
      </c>
      <c r="C887" s="281">
        <v>35</v>
      </c>
      <c r="D887" s="290"/>
      <c r="E887" s="287"/>
      <c r="F887" s="287"/>
      <c r="G887" s="287"/>
      <c r="H887" s="290"/>
      <c r="I887" s="288"/>
      <c r="J887" s="288"/>
      <c r="K887" s="13"/>
      <c r="L887" s="29"/>
      <c r="M887" s="82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</row>
    <row r="888" spans="1:36" s="18" customFormat="1" ht="24.75" customHeight="1">
      <c r="A888" s="299" t="s">
        <v>71</v>
      </c>
      <c r="B888" s="301">
        <f>C888*1.36</f>
        <v>47.6</v>
      </c>
      <c r="C888" s="281">
        <v>35</v>
      </c>
      <c r="D888" s="290"/>
      <c r="E888" s="287"/>
      <c r="F888" s="287"/>
      <c r="G888" s="287"/>
      <c r="H888" s="290"/>
      <c r="I888" s="288"/>
      <c r="J888" s="288"/>
      <c r="K888" s="14"/>
      <c r="L888" s="29"/>
      <c r="M888" s="82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</row>
    <row r="889" spans="1:11" ht="24.75" customHeight="1">
      <c r="A889" s="324" t="s">
        <v>400</v>
      </c>
      <c r="B889" s="371">
        <f>C888</f>
        <v>35</v>
      </c>
      <c r="C889" s="343">
        <f>C888</f>
        <v>35</v>
      </c>
      <c r="D889" s="272"/>
      <c r="E889" s="271"/>
      <c r="F889" s="271"/>
      <c r="G889" s="271"/>
      <c r="H889" s="272"/>
      <c r="I889" s="309"/>
      <c r="J889" s="312"/>
      <c r="K889" s="14"/>
    </row>
    <row r="890" spans="1:14" ht="24.75" customHeight="1" thickBot="1">
      <c r="A890" s="285" t="s">
        <v>26</v>
      </c>
      <c r="B890" s="287">
        <f>C890*1.19</f>
        <v>3.57</v>
      </c>
      <c r="C890" s="281">
        <v>3</v>
      </c>
      <c r="D890" s="290"/>
      <c r="E890" s="287"/>
      <c r="F890" s="287"/>
      <c r="G890" s="287"/>
      <c r="H890" s="290"/>
      <c r="I890" s="288"/>
      <c r="J890" s="288"/>
      <c r="K890" s="14"/>
      <c r="L890" s="115" t="s">
        <v>53</v>
      </c>
      <c r="M890" s="78"/>
      <c r="N890" s="125"/>
    </row>
    <row r="891" spans="1:14" ht="24.75" customHeight="1">
      <c r="A891" s="269" t="s">
        <v>29</v>
      </c>
      <c r="B891" s="286">
        <v>3</v>
      </c>
      <c r="C891" s="286">
        <v>3</v>
      </c>
      <c r="D891" s="290"/>
      <c r="E891" s="287"/>
      <c r="F891" s="287"/>
      <c r="G891" s="287"/>
      <c r="H891" s="290"/>
      <c r="I891" s="288"/>
      <c r="J891" s="288"/>
      <c r="K891" s="14"/>
      <c r="L891" s="42" t="s">
        <v>70</v>
      </c>
      <c r="M891" s="78">
        <f>D1013+D1035</f>
        <v>120</v>
      </c>
      <c r="N891" s="125"/>
    </row>
    <row r="892" spans="1:36" s="18" customFormat="1" ht="24.75" customHeight="1">
      <c r="A892" s="285" t="s">
        <v>68</v>
      </c>
      <c r="B892" s="290">
        <f>C892*1.35</f>
        <v>4.050000000000001</v>
      </c>
      <c r="C892" s="286">
        <v>3</v>
      </c>
      <c r="D892" s="290"/>
      <c r="E892" s="287"/>
      <c r="F892" s="287"/>
      <c r="G892" s="287"/>
      <c r="H892" s="290"/>
      <c r="I892" s="288"/>
      <c r="J892" s="288"/>
      <c r="K892" s="14"/>
      <c r="L892" s="25" t="s">
        <v>80</v>
      </c>
      <c r="M892" s="78">
        <f>D1012+B967+B994+D1015+D974</f>
        <v>237</v>
      </c>
      <c r="N892" s="125">
        <f>B967+B994+D1012</f>
        <v>127</v>
      </c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</row>
    <row r="893" spans="1:14" ht="24.75" customHeight="1">
      <c r="A893" s="501" t="s">
        <v>431</v>
      </c>
      <c r="B893" s="501"/>
      <c r="C893" s="501"/>
      <c r="D893" s="113">
        <v>330</v>
      </c>
      <c r="E893" s="201">
        <v>15.8</v>
      </c>
      <c r="F893" s="201">
        <v>19.9</v>
      </c>
      <c r="G893" s="201">
        <v>22.5</v>
      </c>
      <c r="H893" s="202">
        <f>E893*4+F893*9+G893*4</f>
        <v>332.3</v>
      </c>
      <c r="I893" s="263">
        <v>2.2</v>
      </c>
      <c r="J893" s="263" t="s">
        <v>334</v>
      </c>
      <c r="L893" s="25" t="s">
        <v>81</v>
      </c>
      <c r="M893" s="78"/>
      <c r="N893" s="125"/>
    </row>
    <row r="894" spans="1:36" s="18" customFormat="1" ht="24.75" customHeight="1">
      <c r="A894" s="324" t="s">
        <v>411</v>
      </c>
      <c r="B894" s="325">
        <f>C894*1.48</f>
        <v>161.32</v>
      </c>
      <c r="C894" s="272">
        <v>109</v>
      </c>
      <c r="D894" s="167"/>
      <c r="E894" s="266"/>
      <c r="F894" s="36"/>
      <c r="G894" s="36"/>
      <c r="H894" s="202"/>
      <c r="I894" s="263"/>
      <c r="J894" s="263"/>
      <c r="K894" s="64"/>
      <c r="L894" s="26" t="s">
        <v>123</v>
      </c>
      <c r="M894" s="78">
        <f>B985</f>
        <v>25</v>
      </c>
      <c r="N894" s="83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</row>
    <row r="895" spans="1:14" ht="24.75" customHeight="1">
      <c r="A895" s="366" t="s">
        <v>412</v>
      </c>
      <c r="B895" s="325">
        <f>C895*1.054</f>
        <v>114.88600000000001</v>
      </c>
      <c r="C895" s="272">
        <v>109</v>
      </c>
      <c r="D895" s="167"/>
      <c r="E895" s="266"/>
      <c r="F895" s="266"/>
      <c r="G895" s="266"/>
      <c r="H895" s="75"/>
      <c r="I895" s="192"/>
      <c r="J895" s="192"/>
      <c r="L895" s="26"/>
      <c r="M895" s="78"/>
      <c r="N895" s="84"/>
    </row>
    <row r="896" spans="1:36" s="18" customFormat="1" ht="24.75" customHeight="1">
      <c r="A896" s="366" t="s">
        <v>413</v>
      </c>
      <c r="B896" s="325">
        <f>C896*1.054</f>
        <v>114.88600000000001</v>
      </c>
      <c r="C896" s="272">
        <v>109</v>
      </c>
      <c r="D896" s="167"/>
      <c r="E896" s="266"/>
      <c r="F896" s="266"/>
      <c r="G896" s="266"/>
      <c r="H896" s="75"/>
      <c r="I896" s="192"/>
      <c r="J896" s="192"/>
      <c r="K896" s="64"/>
      <c r="L896" s="25" t="s">
        <v>137</v>
      </c>
      <c r="M896" s="78">
        <f>B986+B1026</f>
        <v>313.5730769230769</v>
      </c>
      <c r="N896" s="8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</row>
    <row r="897" spans="1:36" s="18" customFormat="1" ht="24.75" customHeight="1">
      <c r="A897" s="264" t="s">
        <v>208</v>
      </c>
      <c r="B897" s="283"/>
      <c r="C897" s="272">
        <v>80</v>
      </c>
      <c r="D897" s="167"/>
      <c r="E897" s="266"/>
      <c r="F897" s="266"/>
      <c r="G897" s="266"/>
      <c r="H897" s="75"/>
      <c r="I897" s="192"/>
      <c r="J897" s="192"/>
      <c r="K897" s="64"/>
      <c r="L897" s="25" t="s">
        <v>82</v>
      </c>
      <c r="M897" s="78">
        <f>B990+B992+B995+B1004+B1007+B1002++B980++B1019</f>
        <v>319.1</v>
      </c>
      <c r="N897" s="8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</row>
    <row r="898" spans="1:36" s="18" customFormat="1" ht="24.75" customHeight="1">
      <c r="A898" s="285" t="s">
        <v>25</v>
      </c>
      <c r="B898" s="290">
        <f>C898*1.25</f>
        <v>68.75</v>
      </c>
      <c r="C898" s="290">
        <v>55</v>
      </c>
      <c r="D898" s="75"/>
      <c r="E898" s="36"/>
      <c r="F898" s="271"/>
      <c r="G898" s="271"/>
      <c r="H898" s="272"/>
      <c r="I898" s="273"/>
      <c r="J898" s="273"/>
      <c r="K898" s="64"/>
      <c r="L898" s="25" t="s">
        <v>83</v>
      </c>
      <c r="M898" s="78">
        <f>B1009++D976</f>
        <v>225.6</v>
      </c>
      <c r="N898" s="8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</row>
    <row r="899" spans="1:36" s="18" customFormat="1" ht="24.75" customHeight="1">
      <c r="A899" s="285" t="s">
        <v>19</v>
      </c>
      <c r="B899" s="290">
        <f>C899*1.33</f>
        <v>73.15</v>
      </c>
      <c r="C899" s="290">
        <v>55</v>
      </c>
      <c r="D899" s="75"/>
      <c r="E899" s="36"/>
      <c r="F899" s="271"/>
      <c r="G899" s="271"/>
      <c r="H899" s="272"/>
      <c r="I899" s="273"/>
      <c r="J899" s="273"/>
      <c r="K899" s="64"/>
      <c r="L899" s="25" t="s">
        <v>124</v>
      </c>
      <c r="M899" s="78">
        <f>D1017</f>
        <v>200</v>
      </c>
      <c r="N899" s="8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</row>
    <row r="900" spans="1:36" s="18" customFormat="1" ht="24.75" customHeight="1">
      <c r="A900" s="285" t="s">
        <v>21</v>
      </c>
      <c r="B900" s="290">
        <f>C900*1.33</f>
        <v>199.5</v>
      </c>
      <c r="C900" s="317">
        <v>150</v>
      </c>
      <c r="D900" s="281"/>
      <c r="E900" s="283"/>
      <c r="F900" s="283"/>
      <c r="G900" s="283"/>
      <c r="H900" s="281"/>
      <c r="I900" s="284"/>
      <c r="J900" s="284"/>
      <c r="K900" s="3"/>
      <c r="L900" s="25" t="s">
        <v>84</v>
      </c>
      <c r="M900" s="78"/>
      <c r="N900" s="84" t="e">
        <f>B972+#REF!+B1011+#REF!+#REF!+#REF!</f>
        <v>#REF!</v>
      </c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</row>
    <row r="901" spans="1:36" s="18" customFormat="1" ht="24.75" customHeight="1">
      <c r="A901" s="285" t="s">
        <v>22</v>
      </c>
      <c r="B901" s="290">
        <f>C901*1.43</f>
        <v>214.5</v>
      </c>
      <c r="C901" s="317">
        <v>150</v>
      </c>
      <c r="D901" s="75"/>
      <c r="E901" s="36"/>
      <c r="F901" s="36"/>
      <c r="G901" s="36"/>
      <c r="H901" s="75"/>
      <c r="I901" s="192"/>
      <c r="J901" s="192"/>
      <c r="K901" s="14"/>
      <c r="L901" s="25" t="s">
        <v>85</v>
      </c>
      <c r="M901" s="78">
        <f>B972+B1011</f>
        <v>30</v>
      </c>
      <c r="N901" s="8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</row>
    <row r="902" spans="1:36" s="18" customFormat="1" ht="24.75" customHeight="1">
      <c r="A902" s="285" t="s">
        <v>23</v>
      </c>
      <c r="B902" s="290">
        <f>C902*1.54</f>
        <v>231</v>
      </c>
      <c r="C902" s="317">
        <v>150</v>
      </c>
      <c r="D902" s="75"/>
      <c r="E902" s="36"/>
      <c r="F902" s="36"/>
      <c r="G902" s="36"/>
      <c r="H902" s="75"/>
      <c r="I902" s="192"/>
      <c r="J902" s="192"/>
      <c r="K902" s="14"/>
      <c r="L902" s="151" t="s">
        <v>197</v>
      </c>
      <c r="M902" s="82">
        <f>B1034</f>
        <v>20</v>
      </c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</row>
    <row r="903" spans="1:13" ht="24.75" customHeight="1">
      <c r="A903" s="285" t="s">
        <v>24</v>
      </c>
      <c r="B903" s="290">
        <f>C903*1.67</f>
        <v>250.5</v>
      </c>
      <c r="C903" s="317">
        <v>150</v>
      </c>
      <c r="D903" s="75"/>
      <c r="E903" s="36"/>
      <c r="F903" s="36"/>
      <c r="G903" s="36"/>
      <c r="H903" s="75"/>
      <c r="I903" s="192"/>
      <c r="J903" s="192"/>
      <c r="K903" s="14"/>
      <c r="L903" s="25" t="s">
        <v>125</v>
      </c>
      <c r="M903" s="78">
        <f>B971</f>
        <v>2</v>
      </c>
    </row>
    <row r="904" spans="1:36" s="18" customFormat="1" ht="24.75" customHeight="1">
      <c r="A904" s="269" t="s">
        <v>26</v>
      </c>
      <c r="B904" s="290">
        <f>C904*1.19</f>
        <v>29.75</v>
      </c>
      <c r="C904" s="317">
        <v>25</v>
      </c>
      <c r="D904" s="75"/>
      <c r="E904" s="36"/>
      <c r="F904" s="36"/>
      <c r="G904" s="36"/>
      <c r="H904" s="75"/>
      <c r="I904" s="192"/>
      <c r="J904" s="192"/>
      <c r="K904" s="10"/>
      <c r="L904" s="25" t="s">
        <v>86</v>
      </c>
      <c r="M904" s="78">
        <f>B1033</f>
        <v>0.4</v>
      </c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</row>
    <row r="905" spans="1:13" ht="24.75" customHeight="1">
      <c r="A905" s="276" t="s">
        <v>265</v>
      </c>
      <c r="B905" s="290">
        <v>5</v>
      </c>
      <c r="C905" s="317">
        <v>5</v>
      </c>
      <c r="D905" s="75"/>
      <c r="E905" s="36"/>
      <c r="F905" s="36"/>
      <c r="G905" s="36"/>
      <c r="H905" s="75"/>
      <c r="I905" s="192"/>
      <c r="J905" s="192"/>
      <c r="K905" s="10"/>
      <c r="L905" s="25" t="s">
        <v>136</v>
      </c>
      <c r="M905" s="79">
        <f>B984</f>
        <v>21.76</v>
      </c>
    </row>
    <row r="906" spans="1:12" ht="24.75" customHeight="1">
      <c r="A906" s="285" t="s">
        <v>27</v>
      </c>
      <c r="B906" s="317">
        <v>8</v>
      </c>
      <c r="C906" s="317">
        <v>8</v>
      </c>
      <c r="D906" s="75"/>
      <c r="E906" s="36"/>
      <c r="F906" s="36"/>
      <c r="G906" s="36"/>
      <c r="H906" s="36"/>
      <c r="I906" s="192"/>
      <c r="J906" s="192"/>
      <c r="K906" s="166"/>
      <c r="L906" s="195" t="s">
        <v>199</v>
      </c>
    </row>
    <row r="907" spans="1:13" ht="24.75" customHeight="1">
      <c r="A907" s="501" t="s">
        <v>69</v>
      </c>
      <c r="B907" s="501"/>
      <c r="C907" s="501"/>
      <c r="D907" s="113">
        <v>200</v>
      </c>
      <c r="E907" s="201">
        <v>0.3</v>
      </c>
      <c r="F907" s="201">
        <v>0.13333333333333333</v>
      </c>
      <c r="G907" s="201">
        <v>20.8</v>
      </c>
      <c r="H907" s="75">
        <f>E907*4+F907*9+G907*4</f>
        <v>85.60000000000001</v>
      </c>
      <c r="I907" s="192">
        <v>0.4</v>
      </c>
      <c r="J907" s="192" t="s">
        <v>351</v>
      </c>
      <c r="K907" s="166"/>
      <c r="L907" s="25" t="s">
        <v>87</v>
      </c>
      <c r="M907" s="78">
        <f>B999</f>
        <v>216.45</v>
      </c>
    </row>
    <row r="908" spans="1:36" s="18" customFormat="1" ht="24.75" customHeight="1">
      <c r="A908" s="285" t="s">
        <v>43</v>
      </c>
      <c r="B908" s="286">
        <v>25</v>
      </c>
      <c r="C908" s="286">
        <v>25</v>
      </c>
      <c r="D908" s="286"/>
      <c r="E908" s="287"/>
      <c r="F908" s="287"/>
      <c r="G908" s="287"/>
      <c r="H908" s="290"/>
      <c r="I908" s="288"/>
      <c r="J908" s="288"/>
      <c r="K908" s="166"/>
      <c r="L908" s="25" t="s">
        <v>127</v>
      </c>
      <c r="M908" s="78">
        <f>B1023</f>
        <v>102</v>
      </c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</row>
    <row r="909" spans="1:36" s="18" customFormat="1" ht="24.75" customHeight="1">
      <c r="A909" s="285" t="s">
        <v>12</v>
      </c>
      <c r="B909" s="286">
        <v>10</v>
      </c>
      <c r="C909" s="286">
        <v>10</v>
      </c>
      <c r="D909" s="286"/>
      <c r="E909" s="287"/>
      <c r="F909" s="287"/>
      <c r="G909" s="287"/>
      <c r="H909" s="287"/>
      <c r="I909" s="288"/>
      <c r="J909" s="287"/>
      <c r="K909" s="130"/>
      <c r="L909" s="26" t="s">
        <v>128</v>
      </c>
      <c r="M909" s="78">
        <f>B963++B973+B1030</f>
        <v>154.85714285714286</v>
      </c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</row>
    <row r="910" spans="1:14" ht="24.75" customHeight="1">
      <c r="A910" s="285"/>
      <c r="B910" s="317"/>
      <c r="C910" s="317"/>
      <c r="D910" s="75"/>
      <c r="E910" s="36"/>
      <c r="F910" s="36"/>
      <c r="G910" s="36"/>
      <c r="H910" s="113"/>
      <c r="I910" s="192"/>
      <c r="J910" s="192"/>
      <c r="K910" s="130"/>
      <c r="L910" s="26"/>
      <c r="M910" s="78">
        <f>B1037</f>
        <v>206</v>
      </c>
      <c r="N910" s="84">
        <f>B973+B1037</f>
        <v>306</v>
      </c>
    </row>
    <row r="911" spans="1:13" ht="24.75" customHeight="1">
      <c r="A911" s="501" t="s">
        <v>267</v>
      </c>
      <c r="B911" s="501"/>
      <c r="C911" s="501"/>
      <c r="D911" s="113">
        <v>100</v>
      </c>
      <c r="E911" s="36">
        <v>8.2</v>
      </c>
      <c r="F911" s="36">
        <v>1.4</v>
      </c>
      <c r="G911" s="36">
        <v>38</v>
      </c>
      <c r="H911" s="75">
        <f>E911*4+F911*9+G911*4</f>
        <v>197.4</v>
      </c>
      <c r="I911" s="192">
        <v>0</v>
      </c>
      <c r="J911" s="192"/>
      <c r="K911" s="130"/>
      <c r="L911" s="25" t="s">
        <v>88</v>
      </c>
      <c r="M911" s="78">
        <f>D969</f>
        <v>100</v>
      </c>
    </row>
    <row r="912" spans="1:13" ht="24.75" customHeight="1">
      <c r="A912" s="506" t="s">
        <v>70</v>
      </c>
      <c r="B912" s="506"/>
      <c r="C912" s="506"/>
      <c r="D912" s="227">
        <v>70</v>
      </c>
      <c r="E912" s="201">
        <v>4.62</v>
      </c>
      <c r="F912" s="201">
        <v>0.84</v>
      </c>
      <c r="G912" s="201">
        <v>23.38</v>
      </c>
      <c r="H912" s="202">
        <v>119</v>
      </c>
      <c r="I912" s="263">
        <v>0</v>
      </c>
      <c r="J912" s="263"/>
      <c r="K912" s="130"/>
      <c r="L912" s="25" t="s">
        <v>89</v>
      </c>
      <c r="M912" s="79"/>
    </row>
    <row r="913" spans="1:36" s="18" customFormat="1" ht="24.75" customHeight="1">
      <c r="A913" s="510" t="s">
        <v>59</v>
      </c>
      <c r="B913" s="510"/>
      <c r="C913" s="510"/>
      <c r="D913" s="510"/>
      <c r="E913" s="36">
        <f>SUM(E914:E915)</f>
        <v>1.7000000000000002</v>
      </c>
      <c r="F913" s="36">
        <f>SUM(F914:F915)</f>
        <v>2.5</v>
      </c>
      <c r="G913" s="36">
        <f>SUM(G914:G915)</f>
        <v>64.8</v>
      </c>
      <c r="H913" s="75">
        <f>SUM(H914:H915)</f>
        <v>288.5</v>
      </c>
      <c r="I913" s="192">
        <f>SUM(I914:I915)</f>
        <v>19</v>
      </c>
      <c r="J913" s="36"/>
      <c r="K913" s="14"/>
      <c r="L913" s="25" t="s">
        <v>132</v>
      </c>
      <c r="M913" s="79">
        <f>B968</f>
        <v>21</v>
      </c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</row>
    <row r="914" spans="1:14" ht="24.75" customHeight="1">
      <c r="A914" s="511" t="s">
        <v>259</v>
      </c>
      <c r="B914" s="511"/>
      <c r="C914" s="511"/>
      <c r="D914" s="113">
        <v>30</v>
      </c>
      <c r="E914" s="36">
        <v>1.6</v>
      </c>
      <c r="F914" s="36">
        <v>2.5</v>
      </c>
      <c r="G914" s="36">
        <v>42.8</v>
      </c>
      <c r="H914" s="75">
        <f>E914*4+F914*9+G914*4</f>
        <v>200.1</v>
      </c>
      <c r="I914" s="192">
        <v>0</v>
      </c>
      <c r="J914" s="192"/>
      <c r="K914" s="14"/>
      <c r="L914" s="25" t="s">
        <v>90</v>
      </c>
      <c r="M914" s="79">
        <f>+B993+++B1031+B1024+B964+B965</f>
        <v>25</v>
      </c>
      <c r="N914" s="84">
        <f>+B993+B1024+B1031</f>
        <v>18</v>
      </c>
    </row>
    <row r="915" spans="1:14" ht="69" customHeight="1">
      <c r="A915" s="483" t="s">
        <v>487</v>
      </c>
      <c r="B915" s="483"/>
      <c r="C915" s="483"/>
      <c r="D915" s="227">
        <v>200</v>
      </c>
      <c r="E915" s="201">
        <v>0.1</v>
      </c>
      <c r="F915" s="201">
        <v>0</v>
      </c>
      <c r="G915" s="201">
        <v>22</v>
      </c>
      <c r="H915" s="202">
        <f>E915*4+F915*9+G915*4</f>
        <v>88.4</v>
      </c>
      <c r="I915" s="263">
        <v>19</v>
      </c>
      <c r="J915" s="292" t="s">
        <v>486</v>
      </c>
      <c r="K915" s="14"/>
      <c r="L915" s="25" t="s">
        <v>63</v>
      </c>
      <c r="M915" s="79">
        <f>+B981</f>
        <v>5</v>
      </c>
      <c r="N915" s="84" t="e">
        <f>B981+#REF!+#REF!</f>
        <v>#REF!</v>
      </c>
    </row>
    <row r="916" spans="1:13" ht="24.75" customHeight="1" thickBot="1">
      <c r="A916" s="510" t="s">
        <v>30</v>
      </c>
      <c r="B916" s="510"/>
      <c r="C916" s="510"/>
      <c r="D916" s="510"/>
      <c r="E916" s="36">
        <f>E917+E927+E939+E946+E950+E951+E953</f>
        <v>24.06</v>
      </c>
      <c r="F916" s="36">
        <f>F917+F927+F939+F946+F950+F951+F953</f>
        <v>28.220000000000006</v>
      </c>
      <c r="G916" s="36">
        <f>G917+G927+G939+G946+G950+G951+G953</f>
        <v>79</v>
      </c>
      <c r="H916" s="75">
        <f>H917+H927+H939+H946+H950+H951+H953</f>
        <v>654.04</v>
      </c>
      <c r="I916" s="192">
        <f>I917+I927+I939+I946+I950+I951+I953</f>
        <v>73.45</v>
      </c>
      <c r="J916" s="36"/>
      <c r="L916" s="27" t="s">
        <v>91</v>
      </c>
      <c r="M916" s="79">
        <f>+B962</f>
        <v>60</v>
      </c>
    </row>
    <row r="917" spans="1:12" ht="24.75" customHeight="1">
      <c r="A917" s="501" t="s">
        <v>276</v>
      </c>
      <c r="B917" s="501"/>
      <c r="C917" s="501"/>
      <c r="D917" s="113">
        <v>80</v>
      </c>
      <c r="E917" s="36">
        <v>0.5</v>
      </c>
      <c r="F917" s="36">
        <v>5</v>
      </c>
      <c r="G917" s="36">
        <v>3.8</v>
      </c>
      <c r="H917" s="75">
        <f>E917*4+F917*9+G917*4</f>
        <v>62.2</v>
      </c>
      <c r="I917" s="192">
        <v>61</v>
      </c>
      <c r="J917" s="192" t="s">
        <v>334</v>
      </c>
      <c r="L917" s="29" t="s">
        <v>200</v>
      </c>
    </row>
    <row r="918" spans="1:36" s="18" customFormat="1" ht="24.75" customHeight="1">
      <c r="A918" s="269" t="s">
        <v>277</v>
      </c>
      <c r="B918" s="272">
        <f>C918*1.18</f>
        <v>42.48</v>
      </c>
      <c r="C918" s="270">
        <v>36</v>
      </c>
      <c r="D918" s="113"/>
      <c r="E918" s="36"/>
      <c r="F918" s="36"/>
      <c r="G918" s="36"/>
      <c r="H918" s="36"/>
      <c r="I918" s="192"/>
      <c r="J918" s="192"/>
      <c r="K918" s="64"/>
      <c r="L918" s="29" t="s">
        <v>206</v>
      </c>
      <c r="M918" s="156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</row>
    <row r="919" spans="1:36" s="18" customFormat="1" ht="24.75" customHeight="1">
      <c r="A919" s="269" t="s">
        <v>436</v>
      </c>
      <c r="B919" s="272">
        <f>C919*1.02</f>
        <v>36.72</v>
      </c>
      <c r="C919" s="270">
        <v>36</v>
      </c>
      <c r="D919" s="113"/>
      <c r="E919" s="36"/>
      <c r="F919" s="36"/>
      <c r="G919" s="36"/>
      <c r="H919" s="36"/>
      <c r="I919" s="192"/>
      <c r="J919" s="192"/>
      <c r="K919" s="64"/>
      <c r="L919" s="29"/>
      <c r="M919" s="82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</row>
    <row r="920" spans="1:36" s="18" customFormat="1" ht="24.75" customHeight="1">
      <c r="A920" s="269" t="s">
        <v>278</v>
      </c>
      <c r="B920" s="272">
        <f>C920*1.33</f>
        <v>47.88</v>
      </c>
      <c r="C920" s="270">
        <v>36</v>
      </c>
      <c r="D920" s="113"/>
      <c r="E920" s="36"/>
      <c r="F920" s="36"/>
      <c r="G920" s="36"/>
      <c r="H920" s="75"/>
      <c r="I920" s="192"/>
      <c r="J920" s="192"/>
      <c r="K920" s="14"/>
      <c r="L920" s="29"/>
      <c r="M920" s="82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</row>
    <row r="921" spans="1:36" s="18" customFormat="1" ht="24.75" customHeight="1">
      <c r="A921" s="269" t="s">
        <v>279</v>
      </c>
      <c r="B921" s="271">
        <f>C921*1.35</f>
        <v>2.16</v>
      </c>
      <c r="C921" s="270">
        <v>1.6</v>
      </c>
      <c r="D921" s="113"/>
      <c r="E921" s="36"/>
      <c r="F921" s="36"/>
      <c r="G921" s="36"/>
      <c r="H921" s="75"/>
      <c r="I921" s="273"/>
      <c r="J921" s="273"/>
      <c r="K921" s="14"/>
      <c r="L921" s="29"/>
      <c r="M921" s="82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</row>
    <row r="922" spans="1:36" s="18" customFormat="1" ht="24.75" customHeight="1">
      <c r="A922" s="269" t="s">
        <v>280</v>
      </c>
      <c r="B922" s="271">
        <f>C922*1.35</f>
        <v>2.16</v>
      </c>
      <c r="C922" s="270">
        <v>1.6</v>
      </c>
      <c r="D922" s="113"/>
      <c r="E922" s="36"/>
      <c r="F922" s="36"/>
      <c r="G922" s="36"/>
      <c r="H922" s="75"/>
      <c r="I922" s="273"/>
      <c r="J922" s="273"/>
      <c r="K922" s="14"/>
      <c r="L922" s="29"/>
      <c r="M922" s="82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</row>
    <row r="923" spans="1:11" ht="24.75" customHeight="1">
      <c r="A923" s="269" t="s">
        <v>116</v>
      </c>
      <c r="B923" s="272">
        <f>C923*1.28</f>
        <v>1.024</v>
      </c>
      <c r="C923" s="270">
        <v>0.8</v>
      </c>
      <c r="D923" s="113"/>
      <c r="E923" s="36"/>
      <c r="F923" s="36"/>
      <c r="G923" s="36"/>
      <c r="H923" s="75"/>
      <c r="I923" s="273"/>
      <c r="J923" s="273"/>
      <c r="K923" s="14"/>
    </row>
    <row r="924" spans="1:36" s="18" customFormat="1" ht="24.75" customHeight="1">
      <c r="A924" s="269" t="s">
        <v>12</v>
      </c>
      <c r="B924" s="270">
        <v>1.6</v>
      </c>
      <c r="C924" s="270">
        <v>1.6</v>
      </c>
      <c r="D924" s="113"/>
      <c r="E924" s="36"/>
      <c r="F924" s="36"/>
      <c r="G924" s="36"/>
      <c r="H924" s="75"/>
      <c r="I924" s="273"/>
      <c r="J924" s="273"/>
      <c r="K924" s="14"/>
      <c r="L924" s="29"/>
      <c r="M924" s="82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</row>
    <row r="925" spans="1:36" s="18" customFormat="1" ht="24.75" customHeight="1">
      <c r="A925" s="269" t="s">
        <v>281</v>
      </c>
      <c r="B925" s="271">
        <f>C925*2.38</f>
        <v>3.808</v>
      </c>
      <c r="C925" s="270">
        <v>1.6</v>
      </c>
      <c r="D925" s="113"/>
      <c r="E925" s="36"/>
      <c r="F925" s="36"/>
      <c r="G925" s="36"/>
      <c r="H925" s="75"/>
      <c r="I925" s="273"/>
      <c r="J925" s="273"/>
      <c r="K925" s="64"/>
      <c r="L925" s="29"/>
      <c r="M925" s="82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</row>
    <row r="926" spans="1:36" s="18" customFormat="1" ht="24.75" customHeight="1">
      <c r="A926" s="285" t="s">
        <v>20</v>
      </c>
      <c r="B926" s="265">
        <v>5</v>
      </c>
      <c r="C926" s="265">
        <v>5</v>
      </c>
      <c r="D926" s="113"/>
      <c r="E926" s="201"/>
      <c r="F926" s="201"/>
      <c r="G926" s="201"/>
      <c r="H926" s="202"/>
      <c r="I926" s="273"/>
      <c r="J926" s="273"/>
      <c r="K926" s="14"/>
      <c r="L926" s="29"/>
      <c r="M926" s="82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</row>
    <row r="927" spans="1:36" s="18" customFormat="1" ht="24.75" customHeight="1">
      <c r="A927" s="501" t="s">
        <v>432</v>
      </c>
      <c r="B927" s="501"/>
      <c r="C927" s="501"/>
      <c r="D927" s="227" t="s">
        <v>433</v>
      </c>
      <c r="E927" s="201">
        <v>8.2</v>
      </c>
      <c r="F927" s="201">
        <v>11.5</v>
      </c>
      <c r="G927" s="201">
        <v>5.1</v>
      </c>
      <c r="H927" s="202">
        <f>G927*4+F927*9+E927*4</f>
        <v>156.7</v>
      </c>
      <c r="I927" s="263">
        <v>1.8</v>
      </c>
      <c r="J927" s="223" t="s">
        <v>435</v>
      </c>
      <c r="K927" s="14"/>
      <c r="L927" s="29"/>
      <c r="M927" s="82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</row>
    <row r="928" spans="1:36" s="18" customFormat="1" ht="24.75" customHeight="1">
      <c r="A928" s="366" t="s">
        <v>60</v>
      </c>
      <c r="B928" s="328">
        <f>C928*1.35</f>
        <v>54</v>
      </c>
      <c r="C928" s="270">
        <v>40</v>
      </c>
      <c r="D928" s="272"/>
      <c r="E928" s="271"/>
      <c r="F928" s="271"/>
      <c r="G928" s="271"/>
      <c r="H928" s="271"/>
      <c r="I928" s="273"/>
      <c r="J928" s="271"/>
      <c r="K928" s="14"/>
      <c r="L928" s="29"/>
      <c r="M928" s="82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</row>
    <row r="929" spans="1:36" s="18" customFormat="1" ht="24.75" customHeight="1">
      <c r="A929" s="366" t="s">
        <v>72</v>
      </c>
      <c r="B929" s="300">
        <f>C929*1.18</f>
        <v>47.199999999999996</v>
      </c>
      <c r="C929" s="270">
        <v>40</v>
      </c>
      <c r="D929" s="272"/>
      <c r="E929" s="271"/>
      <c r="F929" s="271"/>
      <c r="G929" s="271"/>
      <c r="H929" s="272"/>
      <c r="I929" s="309"/>
      <c r="J929" s="310"/>
      <c r="K929" s="14"/>
      <c r="L929" s="29"/>
      <c r="M929" s="82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</row>
    <row r="930" spans="1:36" s="18" customFormat="1" ht="24.75" customHeight="1">
      <c r="A930" s="324" t="s">
        <v>400</v>
      </c>
      <c r="B930" s="371">
        <f>C930</f>
        <v>40</v>
      </c>
      <c r="C930" s="343">
        <v>40</v>
      </c>
      <c r="D930" s="272"/>
      <c r="E930" s="271"/>
      <c r="F930" s="271"/>
      <c r="G930" s="271"/>
      <c r="H930" s="272"/>
      <c r="I930" s="309"/>
      <c r="J930" s="312"/>
      <c r="K930" s="14"/>
      <c r="L930" s="29"/>
      <c r="M930" s="82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</row>
    <row r="931" spans="1:36" s="18" customFormat="1" ht="24.75" customHeight="1">
      <c r="A931" s="264" t="s">
        <v>31</v>
      </c>
      <c r="B931" s="265">
        <v>5</v>
      </c>
      <c r="C931" s="265">
        <v>5</v>
      </c>
      <c r="D931" s="167"/>
      <c r="E931" s="266"/>
      <c r="F931" s="266"/>
      <c r="G931" s="266"/>
      <c r="H931" s="167"/>
      <c r="I931" s="250"/>
      <c r="J931" s="417"/>
      <c r="K931" s="64"/>
      <c r="L931" s="29"/>
      <c r="M931" s="82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</row>
    <row r="932" spans="1:36" s="18" customFormat="1" ht="24.75" customHeight="1">
      <c r="A932" s="264" t="s">
        <v>26</v>
      </c>
      <c r="B932" s="167">
        <f>C932*1.19</f>
        <v>8.33</v>
      </c>
      <c r="C932" s="167">
        <v>7</v>
      </c>
      <c r="D932" s="167"/>
      <c r="E932" s="266"/>
      <c r="F932" s="266"/>
      <c r="G932" s="266"/>
      <c r="H932" s="167"/>
      <c r="I932" s="250"/>
      <c r="J932" s="417"/>
      <c r="K932" s="14"/>
      <c r="L932" s="29"/>
      <c r="M932" s="82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</row>
    <row r="933" spans="1:36" s="18" customFormat="1" ht="24.75" customHeight="1">
      <c r="A933" s="280" t="s">
        <v>45</v>
      </c>
      <c r="B933" s="305">
        <f>C933*1.25</f>
        <v>78.75</v>
      </c>
      <c r="C933" s="402">
        <v>63</v>
      </c>
      <c r="D933" s="402"/>
      <c r="E933" s="439"/>
      <c r="F933" s="201"/>
      <c r="G933" s="201"/>
      <c r="H933" s="202"/>
      <c r="I933" s="263"/>
      <c r="J933" s="263"/>
      <c r="K933" s="14"/>
      <c r="L933" s="29"/>
      <c r="M933" s="82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</row>
    <row r="934" spans="1:36" s="18" customFormat="1" ht="24.75" customHeight="1">
      <c r="A934" s="264" t="s">
        <v>20</v>
      </c>
      <c r="B934" s="265">
        <v>7</v>
      </c>
      <c r="C934" s="265">
        <v>7</v>
      </c>
      <c r="D934" s="167"/>
      <c r="E934" s="266"/>
      <c r="F934" s="266"/>
      <c r="G934" s="266"/>
      <c r="H934" s="167"/>
      <c r="I934" s="267"/>
      <c r="J934" s="267"/>
      <c r="K934" s="14"/>
      <c r="L934" s="29"/>
      <c r="M934" s="82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</row>
    <row r="935" spans="1:11" ht="24.75" customHeight="1">
      <c r="A935" s="440" t="s">
        <v>434</v>
      </c>
      <c r="B935" s="227"/>
      <c r="C935" s="227">
        <v>50</v>
      </c>
      <c r="D935" s="265"/>
      <c r="E935" s="266"/>
      <c r="F935" s="266"/>
      <c r="G935" s="266"/>
      <c r="H935" s="167"/>
      <c r="I935" s="441"/>
      <c r="J935" s="417"/>
      <c r="K935" s="14"/>
    </row>
    <row r="936" spans="1:11" ht="24.75" customHeight="1">
      <c r="A936" s="264" t="s">
        <v>28</v>
      </c>
      <c r="B936" s="265">
        <v>2.5</v>
      </c>
      <c r="C936" s="265">
        <v>2.5</v>
      </c>
      <c r="D936" s="265"/>
      <c r="E936" s="266"/>
      <c r="F936" s="266"/>
      <c r="G936" s="266"/>
      <c r="H936" s="167"/>
      <c r="I936" s="250"/>
      <c r="J936" s="400"/>
      <c r="K936" s="14"/>
    </row>
    <row r="937" spans="1:36" s="18" customFormat="1" ht="24.75" customHeight="1">
      <c r="A937" s="264" t="s">
        <v>93</v>
      </c>
      <c r="B937" s="265">
        <v>10</v>
      </c>
      <c r="C937" s="265">
        <v>10</v>
      </c>
      <c r="D937" s="265"/>
      <c r="E937" s="266"/>
      <c r="F937" s="266"/>
      <c r="G937" s="266"/>
      <c r="H937" s="167"/>
      <c r="I937" s="441"/>
      <c r="J937" s="400"/>
      <c r="K937" s="14"/>
      <c r="L937" s="29"/>
      <c r="M937" s="82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</row>
    <row r="938" spans="1:36" s="18" customFormat="1" ht="24.75" customHeight="1">
      <c r="A938" s="264" t="s">
        <v>27</v>
      </c>
      <c r="B938" s="442">
        <v>2.5</v>
      </c>
      <c r="C938" s="442">
        <v>2.5</v>
      </c>
      <c r="D938" s="265"/>
      <c r="E938" s="266"/>
      <c r="F938" s="266"/>
      <c r="G938" s="266"/>
      <c r="H938" s="167"/>
      <c r="I938" s="441"/>
      <c r="J938" s="400"/>
      <c r="K938" s="14"/>
      <c r="L938" s="29"/>
      <c r="M938" s="82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</row>
    <row r="939" spans="1:36" s="18" customFormat="1" ht="24.75" customHeight="1">
      <c r="A939" s="501" t="s">
        <v>145</v>
      </c>
      <c r="B939" s="501"/>
      <c r="C939" s="501"/>
      <c r="D939" s="113" t="s">
        <v>525</v>
      </c>
      <c r="E939" s="36">
        <v>2.6</v>
      </c>
      <c r="F939" s="36">
        <v>3.1</v>
      </c>
      <c r="G939" s="36">
        <v>20.5</v>
      </c>
      <c r="H939" s="75">
        <f>E939*4+F939*9+G939*4</f>
        <v>120.30000000000001</v>
      </c>
      <c r="I939" s="192">
        <v>9.28</v>
      </c>
      <c r="J939" s="192" t="s">
        <v>365</v>
      </c>
      <c r="K939" s="10"/>
      <c r="L939" s="29"/>
      <c r="M939" s="82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</row>
    <row r="940" spans="1:36" s="18" customFormat="1" ht="24.75" customHeight="1">
      <c r="A940" s="269" t="s">
        <v>21</v>
      </c>
      <c r="B940" s="290">
        <f>C940*1.33</f>
        <v>199.5</v>
      </c>
      <c r="C940" s="272">
        <v>150</v>
      </c>
      <c r="D940" s="281"/>
      <c r="E940" s="283"/>
      <c r="F940" s="283"/>
      <c r="G940" s="283"/>
      <c r="H940" s="281"/>
      <c r="I940" s="284"/>
      <c r="J940" s="284"/>
      <c r="K940" s="10"/>
      <c r="L940" s="29"/>
      <c r="M940" s="82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</row>
    <row r="941" spans="1:36" s="18" customFormat="1" ht="24.75" customHeight="1">
      <c r="A941" s="269" t="s">
        <v>22</v>
      </c>
      <c r="B941" s="290">
        <f>C941*1.43</f>
        <v>214.5</v>
      </c>
      <c r="C941" s="272">
        <v>150</v>
      </c>
      <c r="D941" s="281"/>
      <c r="E941" s="271"/>
      <c r="F941" s="271"/>
      <c r="G941" s="271"/>
      <c r="H941" s="272"/>
      <c r="I941" s="273"/>
      <c r="J941" s="273"/>
      <c r="K941" s="14"/>
      <c r="L941" s="29"/>
      <c r="M941" s="82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</row>
    <row r="942" spans="1:36" s="18" customFormat="1" ht="24.75" customHeight="1">
      <c r="A942" s="285" t="s">
        <v>23</v>
      </c>
      <c r="B942" s="290">
        <f>C942*1.54</f>
        <v>231</v>
      </c>
      <c r="C942" s="272">
        <v>150</v>
      </c>
      <c r="D942" s="281"/>
      <c r="E942" s="271"/>
      <c r="F942" s="271"/>
      <c r="G942" s="271"/>
      <c r="H942" s="272"/>
      <c r="I942" s="273"/>
      <c r="J942" s="273"/>
      <c r="K942" s="14"/>
      <c r="L942" s="29"/>
      <c r="M942" s="82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</row>
    <row r="943" spans="1:36" s="18" customFormat="1" ht="24.75" customHeight="1">
      <c r="A943" s="285" t="s">
        <v>24</v>
      </c>
      <c r="B943" s="290">
        <f>C943*1.67</f>
        <v>250.5</v>
      </c>
      <c r="C943" s="272">
        <v>150</v>
      </c>
      <c r="D943" s="281"/>
      <c r="E943" s="271"/>
      <c r="F943" s="271"/>
      <c r="G943" s="271"/>
      <c r="H943" s="272"/>
      <c r="I943" s="273"/>
      <c r="J943" s="273"/>
      <c r="K943" s="95"/>
      <c r="L943" s="29"/>
      <c r="M943" s="82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</row>
    <row r="944" spans="1:36" s="18" customFormat="1" ht="24.75" customHeight="1">
      <c r="A944" s="269" t="s">
        <v>27</v>
      </c>
      <c r="B944" s="272">
        <v>5</v>
      </c>
      <c r="C944" s="272">
        <v>5</v>
      </c>
      <c r="D944" s="319"/>
      <c r="E944" s="36"/>
      <c r="F944" s="36"/>
      <c r="G944" s="36"/>
      <c r="H944" s="36"/>
      <c r="I944" s="192"/>
      <c r="J944" s="192"/>
      <c r="K944" s="10"/>
      <c r="L944" s="29"/>
      <c r="M944" s="82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</row>
    <row r="945" spans="1:36" s="18" customFormat="1" ht="24.75" customHeight="1">
      <c r="A945" s="285" t="s">
        <v>68</v>
      </c>
      <c r="B945" s="290">
        <f>C945*1.35</f>
        <v>4.050000000000001</v>
      </c>
      <c r="C945" s="286">
        <v>3</v>
      </c>
      <c r="D945" s="270"/>
      <c r="E945" s="271"/>
      <c r="F945" s="271"/>
      <c r="G945" s="271"/>
      <c r="H945" s="272"/>
      <c r="I945" s="273"/>
      <c r="J945" s="273"/>
      <c r="K945" s="10"/>
      <c r="L945" s="29"/>
      <c r="M945" s="82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</row>
    <row r="946" spans="1:36" s="18" customFormat="1" ht="24.75" customHeight="1">
      <c r="A946" s="262" t="s">
        <v>39</v>
      </c>
      <c r="B946" s="262"/>
      <c r="C946" s="262"/>
      <c r="D946" s="113">
        <v>200</v>
      </c>
      <c r="E946" s="201">
        <v>2.8</v>
      </c>
      <c r="F946" s="201">
        <v>2.8</v>
      </c>
      <c r="G946" s="201">
        <v>13.5</v>
      </c>
      <c r="H946" s="75">
        <f>E946*4+F946*9+G946*4</f>
        <v>90.4</v>
      </c>
      <c r="I946" s="192">
        <v>0</v>
      </c>
      <c r="J946" s="395" t="s">
        <v>386</v>
      </c>
      <c r="K946" s="10"/>
      <c r="L946" s="29"/>
      <c r="M946" s="82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</row>
    <row r="947" spans="1:36" s="18" customFormat="1" ht="24.75" customHeight="1">
      <c r="A947" s="269" t="s">
        <v>16</v>
      </c>
      <c r="B947" s="270">
        <v>0.4</v>
      </c>
      <c r="C947" s="270">
        <v>0.4</v>
      </c>
      <c r="D947" s="270"/>
      <c r="E947" s="36"/>
      <c r="F947" s="36"/>
      <c r="G947" s="36"/>
      <c r="H947" s="75"/>
      <c r="I947" s="192"/>
      <c r="J947" s="192"/>
      <c r="K947" s="14"/>
      <c r="L947" s="29"/>
      <c r="M947" s="82"/>
      <c r="N947" s="8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</row>
    <row r="948" spans="1:36" s="18" customFormat="1" ht="24.75" customHeight="1">
      <c r="A948" s="269" t="s">
        <v>12</v>
      </c>
      <c r="B948" s="270">
        <v>12</v>
      </c>
      <c r="C948" s="270">
        <v>12</v>
      </c>
      <c r="D948" s="270"/>
      <c r="E948" s="271"/>
      <c r="F948" s="271"/>
      <c r="G948" s="271"/>
      <c r="H948" s="272"/>
      <c r="I948" s="273"/>
      <c r="J948" s="273"/>
      <c r="K948" s="15"/>
      <c r="L948" s="29"/>
      <c r="M948" s="82"/>
      <c r="N948" s="8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</row>
    <row r="949" spans="1:36" s="18" customFormat="1" ht="24.75" customHeight="1">
      <c r="A949" s="280" t="s">
        <v>148</v>
      </c>
      <c r="B949" s="265">
        <v>100</v>
      </c>
      <c r="C949" s="265">
        <v>100</v>
      </c>
      <c r="D949" s="265"/>
      <c r="E949" s="266"/>
      <c r="F949" s="266"/>
      <c r="G949" s="266"/>
      <c r="H949" s="266"/>
      <c r="I949" s="267"/>
      <c r="J949" s="267"/>
      <c r="K949" s="10"/>
      <c r="L949" s="29"/>
      <c r="M949" s="82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</row>
    <row r="950" spans="1:36" s="18" customFormat="1" ht="24.75" customHeight="1">
      <c r="A950" s="506" t="s">
        <v>70</v>
      </c>
      <c r="B950" s="506"/>
      <c r="C950" s="506"/>
      <c r="D950" s="227">
        <v>50</v>
      </c>
      <c r="E950" s="201">
        <v>3.3</v>
      </c>
      <c r="F950" s="201">
        <v>0.6</v>
      </c>
      <c r="G950" s="201">
        <v>16.7</v>
      </c>
      <c r="H950" s="202">
        <f>E950*4+F950*9+G950*4</f>
        <v>85.39999999999999</v>
      </c>
      <c r="I950" s="263">
        <v>0</v>
      </c>
      <c r="J950" s="263"/>
      <c r="K950" s="110"/>
      <c r="L950" s="29"/>
      <c r="M950" s="82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</row>
    <row r="951" spans="1:13" ht="24.75" customHeight="1">
      <c r="A951" s="501" t="s">
        <v>267</v>
      </c>
      <c r="B951" s="501"/>
      <c r="C951" s="501"/>
      <c r="D951" s="113">
        <v>30</v>
      </c>
      <c r="E951" s="36">
        <v>2.4599999999999995</v>
      </c>
      <c r="F951" s="36">
        <v>0.4200000000000001</v>
      </c>
      <c r="G951" s="36">
        <v>11.4</v>
      </c>
      <c r="H951" s="75">
        <v>47.04</v>
      </c>
      <c r="I951" s="192">
        <v>0</v>
      </c>
      <c r="J951" s="192"/>
      <c r="K951" s="100"/>
      <c r="L951" s="24"/>
      <c r="M951" s="24"/>
    </row>
    <row r="952" spans="1:11" s="108" customFormat="1" ht="24.75" customHeight="1">
      <c r="A952" s="499" t="s">
        <v>220</v>
      </c>
      <c r="B952" s="500"/>
      <c r="C952" s="500"/>
      <c r="D952" s="500"/>
      <c r="E952" s="500"/>
      <c r="F952" s="500"/>
      <c r="G952" s="500"/>
      <c r="H952" s="500"/>
      <c r="I952" s="500"/>
      <c r="J952" s="512"/>
      <c r="K952" s="100"/>
    </row>
    <row r="953" spans="1:11" s="108" customFormat="1" ht="60" customHeight="1">
      <c r="A953" s="332" t="s">
        <v>246</v>
      </c>
      <c r="B953" s="265">
        <v>206</v>
      </c>
      <c r="C953" s="281">
        <v>200</v>
      </c>
      <c r="D953" s="227">
        <v>200</v>
      </c>
      <c r="E953" s="201">
        <v>4.2</v>
      </c>
      <c r="F953" s="201">
        <v>4.8</v>
      </c>
      <c r="G953" s="201">
        <v>8</v>
      </c>
      <c r="H953" s="202">
        <f>E953*4+F953*9+G953*4</f>
        <v>92</v>
      </c>
      <c r="I953" s="263">
        <v>1.37</v>
      </c>
      <c r="J953" s="263" t="s">
        <v>364</v>
      </c>
      <c r="K953" s="10"/>
    </row>
    <row r="954" spans="1:11" s="108" customFormat="1" ht="24.75" customHeight="1">
      <c r="A954" s="482" t="s">
        <v>140</v>
      </c>
      <c r="B954" s="482"/>
      <c r="C954" s="482"/>
      <c r="D954" s="482"/>
      <c r="E954" s="334">
        <f>E952+E916+E913+E868+E850+E866</f>
        <v>73.13714285714286</v>
      </c>
      <c r="F954" s="348">
        <f>F952+F916+F913+F868+F850+F866</f>
        <v>84.09333333333333</v>
      </c>
      <c r="G954" s="334">
        <f>G952+G916+G913+G868+G850+G866</f>
        <v>359.88</v>
      </c>
      <c r="H954" s="352">
        <f>H952+H916+H913+H868+H850+H866</f>
        <v>2472.1685714285713</v>
      </c>
      <c r="I954" s="386">
        <f>I952+I916+I913+I868+I850+I866</f>
        <v>130.05</v>
      </c>
      <c r="J954" s="334"/>
      <c r="K954" s="10"/>
    </row>
    <row r="955" spans="1:36" s="18" customFormat="1" ht="24.75" customHeight="1">
      <c r="A955" s="528" t="s">
        <v>0</v>
      </c>
      <c r="B955" s="529"/>
      <c r="C955" s="529"/>
      <c r="D955" s="529"/>
      <c r="E955" s="529"/>
      <c r="F955" s="529"/>
      <c r="G955" s="529"/>
      <c r="H955" s="529"/>
      <c r="I955" s="529"/>
      <c r="J955" s="530"/>
      <c r="K955" s="10"/>
      <c r="L955" s="29"/>
      <c r="M955" s="82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</row>
    <row r="956" spans="1:36" s="18" customFormat="1" ht="24.75" customHeight="1">
      <c r="A956" s="528" t="s">
        <v>53</v>
      </c>
      <c r="B956" s="529"/>
      <c r="C956" s="529"/>
      <c r="D956" s="529"/>
      <c r="E956" s="529"/>
      <c r="F956" s="529"/>
      <c r="G956" s="529"/>
      <c r="H956" s="529"/>
      <c r="I956" s="529"/>
      <c r="J956" s="530"/>
      <c r="K956" s="10"/>
      <c r="L956" s="29"/>
      <c r="M956" s="82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</row>
    <row r="957" spans="1:36" s="18" customFormat="1" ht="24.75" customHeight="1">
      <c r="A957" s="498" t="s">
        <v>2</v>
      </c>
      <c r="B957" s="497" t="s">
        <v>3</v>
      </c>
      <c r="C957" s="497" t="s">
        <v>4</v>
      </c>
      <c r="D957" s="498" t="s">
        <v>5</v>
      </c>
      <c r="E957" s="498"/>
      <c r="F957" s="498"/>
      <c r="G957" s="498"/>
      <c r="H957" s="498"/>
      <c r="I957" s="498"/>
      <c r="J957" s="526" t="s">
        <v>302</v>
      </c>
      <c r="K957" s="14"/>
      <c r="L957" s="29"/>
      <c r="M957" s="82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</row>
    <row r="958" spans="1:11" ht="24.75" customHeight="1">
      <c r="A958" s="498"/>
      <c r="B958" s="497"/>
      <c r="C958" s="497"/>
      <c r="D958" s="497" t="s">
        <v>6</v>
      </c>
      <c r="E958" s="485" t="s">
        <v>7</v>
      </c>
      <c r="F958" s="485" t="s">
        <v>8</v>
      </c>
      <c r="G958" s="485" t="s">
        <v>9</v>
      </c>
      <c r="H958" s="494" t="s">
        <v>10</v>
      </c>
      <c r="I958" s="527" t="s">
        <v>303</v>
      </c>
      <c r="J958" s="526"/>
      <c r="K958" s="10"/>
    </row>
    <row r="959" spans="1:11" ht="24.75" customHeight="1">
      <c r="A959" s="498"/>
      <c r="B959" s="497"/>
      <c r="C959" s="497"/>
      <c r="D959" s="497"/>
      <c r="E959" s="485"/>
      <c r="F959" s="485"/>
      <c r="G959" s="485"/>
      <c r="H959" s="494"/>
      <c r="I959" s="527"/>
      <c r="J959" s="526"/>
      <c r="K959" s="14"/>
    </row>
    <row r="960" spans="1:36" s="18" customFormat="1" ht="24.75" customHeight="1">
      <c r="A960" s="510" t="s">
        <v>11</v>
      </c>
      <c r="B960" s="510"/>
      <c r="C960" s="510"/>
      <c r="D960" s="510"/>
      <c r="E960" s="36">
        <f>SUM(E961:E976)</f>
        <v>22.639999999999997</v>
      </c>
      <c r="F960" s="36">
        <f>SUM(F961:F976)</f>
        <v>25.28</v>
      </c>
      <c r="G960" s="36">
        <f>SUM(G961:G976)</f>
        <v>67.30000000000001</v>
      </c>
      <c r="H960" s="75">
        <f>SUM(H961:H976)</f>
        <v>587.2800000000001</v>
      </c>
      <c r="I960" s="192">
        <f>SUM(I961:I976)</f>
        <v>13.25</v>
      </c>
      <c r="J960" s="36"/>
      <c r="K960" s="14"/>
      <c r="L960" s="29"/>
      <c r="M960" s="82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</row>
    <row r="961" spans="1:36" s="18" customFormat="1" ht="24.75" customHeight="1">
      <c r="A961" s="501" t="s">
        <v>109</v>
      </c>
      <c r="B961" s="501"/>
      <c r="C961" s="501"/>
      <c r="D961" s="113" t="s">
        <v>237</v>
      </c>
      <c r="E961" s="201">
        <v>8.1</v>
      </c>
      <c r="F961" s="201">
        <v>12.3</v>
      </c>
      <c r="G961" s="201">
        <v>1.8</v>
      </c>
      <c r="H961" s="75">
        <f>E961*4+F961*9+G961*4</f>
        <v>150.29999999999998</v>
      </c>
      <c r="I961" s="192">
        <v>0.12</v>
      </c>
      <c r="J961" s="263" t="s">
        <v>342</v>
      </c>
      <c r="K961" s="14"/>
      <c r="L961" s="29"/>
      <c r="M961" s="82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</row>
    <row r="962" spans="1:36" s="18" customFormat="1" ht="24.75" customHeight="1">
      <c r="A962" s="269" t="s">
        <v>29</v>
      </c>
      <c r="B962" s="272">
        <v>60</v>
      </c>
      <c r="C962" s="272">
        <v>60</v>
      </c>
      <c r="D962" s="272"/>
      <c r="E962" s="271"/>
      <c r="F962" s="266"/>
      <c r="G962" s="266"/>
      <c r="H962" s="167"/>
      <c r="I962" s="267"/>
      <c r="J962" s="267"/>
      <c r="K962" s="14"/>
      <c r="L962" s="29"/>
      <c r="M962" s="82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</row>
    <row r="963" spans="1:36" s="18" customFormat="1" ht="24.75" customHeight="1">
      <c r="A963" s="264" t="s">
        <v>148</v>
      </c>
      <c r="B963" s="167">
        <v>22.857142857142858</v>
      </c>
      <c r="C963" s="167">
        <v>22.857142857142858</v>
      </c>
      <c r="D963" s="167"/>
      <c r="E963" s="201"/>
      <c r="F963" s="201"/>
      <c r="G963" s="201"/>
      <c r="H963" s="202"/>
      <c r="I963" s="263"/>
      <c r="J963" s="263"/>
      <c r="K963" s="14"/>
      <c r="L963" s="29"/>
      <c r="M963" s="82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</row>
    <row r="964" spans="1:36" s="18" customFormat="1" ht="24.75" customHeight="1">
      <c r="A964" s="264" t="s">
        <v>27</v>
      </c>
      <c r="B964" s="265">
        <v>2</v>
      </c>
      <c r="C964" s="265">
        <v>2</v>
      </c>
      <c r="D964" s="167"/>
      <c r="E964" s="266"/>
      <c r="F964" s="266"/>
      <c r="G964" s="266"/>
      <c r="H964" s="167"/>
      <c r="I964" s="267"/>
      <c r="J964" s="267"/>
      <c r="K964" s="11"/>
      <c r="L964" s="29"/>
      <c r="M964" s="82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</row>
    <row r="965" spans="1:11" ht="24.75" customHeight="1">
      <c r="A965" s="269" t="s">
        <v>27</v>
      </c>
      <c r="B965" s="270">
        <v>5</v>
      </c>
      <c r="C965" s="270">
        <v>5</v>
      </c>
      <c r="D965" s="270"/>
      <c r="E965" s="271"/>
      <c r="F965" s="271"/>
      <c r="G965" s="271"/>
      <c r="H965" s="272"/>
      <c r="I965" s="273"/>
      <c r="J965" s="273"/>
      <c r="K965" s="1"/>
    </row>
    <row r="966" spans="1:14" s="18" customFormat="1" ht="24.75" customHeight="1">
      <c r="A966" s="511" t="s">
        <v>249</v>
      </c>
      <c r="B966" s="511"/>
      <c r="C966" s="511"/>
      <c r="D966" s="113" t="s">
        <v>252</v>
      </c>
      <c r="E966" s="36">
        <v>5.4</v>
      </c>
      <c r="F966" s="36">
        <v>4.8</v>
      </c>
      <c r="G966" s="36">
        <v>11.4</v>
      </c>
      <c r="H966" s="75">
        <f>E966*4+F966*9+G966*4</f>
        <v>110.4</v>
      </c>
      <c r="I966" s="192">
        <v>0.14</v>
      </c>
      <c r="J966" s="192" t="s">
        <v>367</v>
      </c>
      <c r="K966" s="1"/>
      <c r="L966" s="29"/>
      <c r="M966" s="82"/>
      <c r="N966" s="24"/>
    </row>
    <row r="967" spans="1:11" ht="24.75" customHeight="1">
      <c r="A967" s="276" t="s">
        <v>348</v>
      </c>
      <c r="B967" s="270">
        <v>30</v>
      </c>
      <c r="C967" s="270">
        <v>30</v>
      </c>
      <c r="D967" s="270"/>
      <c r="E967" s="271"/>
      <c r="F967" s="271"/>
      <c r="G967" s="271"/>
      <c r="H967" s="272"/>
      <c r="I967" s="273"/>
      <c r="J967" s="273"/>
      <c r="K967" s="1"/>
    </row>
    <row r="968" spans="1:14" s="18" customFormat="1" ht="24.75" customHeight="1">
      <c r="A968" s="316" t="s">
        <v>50</v>
      </c>
      <c r="B968" s="270">
        <v>21</v>
      </c>
      <c r="C968" s="270">
        <v>20</v>
      </c>
      <c r="D968" s="113"/>
      <c r="E968" s="36"/>
      <c r="F968" s="36"/>
      <c r="G968" s="36"/>
      <c r="H968" s="75"/>
      <c r="I968" s="192"/>
      <c r="J968" s="192"/>
      <c r="K968" s="1"/>
      <c r="L968" s="29"/>
      <c r="M968" s="82"/>
      <c r="N968" s="24"/>
    </row>
    <row r="969" spans="1:36" s="18" customFormat="1" ht="144.75" customHeight="1">
      <c r="A969" s="322" t="s">
        <v>521</v>
      </c>
      <c r="B969" s="286">
        <v>100</v>
      </c>
      <c r="C969" s="286">
        <v>100</v>
      </c>
      <c r="D969" s="278">
        <v>100</v>
      </c>
      <c r="E969" s="279">
        <v>3.2</v>
      </c>
      <c r="F969" s="292">
        <v>5.4</v>
      </c>
      <c r="G969" s="292">
        <v>10.5</v>
      </c>
      <c r="H969" s="75">
        <f>E969*4+F969*9+G969*4</f>
        <v>103.4</v>
      </c>
      <c r="I969" s="192">
        <v>0.49</v>
      </c>
      <c r="J969" s="192"/>
      <c r="K969" s="1"/>
      <c r="L969" s="29"/>
      <c r="M969" s="82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</row>
    <row r="970" spans="1:36" s="18" customFormat="1" ht="24.75" customHeight="1">
      <c r="A970" s="501" t="s">
        <v>151</v>
      </c>
      <c r="B970" s="501"/>
      <c r="C970" s="501"/>
      <c r="D970" s="113">
        <v>200</v>
      </c>
      <c r="E970" s="201">
        <v>3.9</v>
      </c>
      <c r="F970" s="201">
        <v>2.5</v>
      </c>
      <c r="G970" s="201">
        <v>18</v>
      </c>
      <c r="H970" s="202">
        <f>E970*4+F970*9+G970*4</f>
        <v>110.1</v>
      </c>
      <c r="I970" s="263">
        <v>0.5</v>
      </c>
      <c r="J970" s="192" t="s">
        <v>353</v>
      </c>
      <c r="K970" s="1"/>
      <c r="L970" s="29"/>
      <c r="M970" s="82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</row>
    <row r="971" spans="1:11" ht="24.75" customHeight="1">
      <c r="A971" s="285" t="s">
        <v>176</v>
      </c>
      <c r="B971" s="286">
        <v>2</v>
      </c>
      <c r="C971" s="286">
        <v>2</v>
      </c>
      <c r="D971" s="286"/>
      <c r="E971" s="287"/>
      <c r="F971" s="287"/>
      <c r="G971" s="287"/>
      <c r="H971" s="286"/>
      <c r="I971" s="288"/>
      <c r="J971" s="288"/>
      <c r="K971" s="10"/>
    </row>
    <row r="972" spans="1:36" s="18" customFormat="1" ht="24.75" customHeight="1">
      <c r="A972" s="269" t="s">
        <v>12</v>
      </c>
      <c r="B972" s="270">
        <v>15</v>
      </c>
      <c r="C972" s="270">
        <v>15</v>
      </c>
      <c r="D972" s="270"/>
      <c r="E972" s="271"/>
      <c r="F972" s="271"/>
      <c r="G972" s="271"/>
      <c r="H972" s="272"/>
      <c r="I972" s="273"/>
      <c r="J972" s="273"/>
      <c r="K972" s="14"/>
      <c r="L972" s="29"/>
      <c r="M972" s="82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</row>
    <row r="973" spans="1:36" s="18" customFormat="1" ht="24.75" customHeight="1">
      <c r="A973" s="280" t="s">
        <v>148</v>
      </c>
      <c r="B973" s="281">
        <v>100</v>
      </c>
      <c r="C973" s="281">
        <v>100</v>
      </c>
      <c r="D973" s="281"/>
      <c r="E973" s="283"/>
      <c r="F973" s="283"/>
      <c r="G973" s="283"/>
      <c r="H973" s="281"/>
      <c r="I973" s="284"/>
      <c r="J973" s="284"/>
      <c r="K973" s="14"/>
      <c r="L973" s="29"/>
      <c r="M973" s="82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</row>
    <row r="974" spans="1:11" ht="24.75" customHeight="1">
      <c r="A974" s="501" t="s">
        <v>267</v>
      </c>
      <c r="B974" s="501"/>
      <c r="C974" s="501"/>
      <c r="D974" s="113">
        <v>20</v>
      </c>
      <c r="E974" s="36">
        <v>1.64</v>
      </c>
      <c r="F974" s="36">
        <v>0.28</v>
      </c>
      <c r="G974" s="36">
        <v>7.6</v>
      </c>
      <c r="H974" s="75">
        <v>39.48</v>
      </c>
      <c r="I974" s="192">
        <v>0</v>
      </c>
      <c r="J974" s="192"/>
      <c r="K974" s="14"/>
    </row>
    <row r="975" spans="1:36" s="18" customFormat="1" ht="24.75" customHeight="1">
      <c r="A975" s="499" t="s">
        <v>150</v>
      </c>
      <c r="B975" s="500"/>
      <c r="C975" s="500"/>
      <c r="D975" s="500"/>
      <c r="E975" s="500"/>
      <c r="F975" s="500"/>
      <c r="G975" s="500"/>
      <c r="H975" s="500"/>
      <c r="I975" s="500"/>
      <c r="J975" s="512"/>
      <c r="K975" s="14"/>
      <c r="L975" s="29"/>
      <c r="M975" s="82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</row>
    <row r="976" spans="1:36" s="18" customFormat="1" ht="54.75" customHeight="1">
      <c r="A976" s="492" t="s">
        <v>337</v>
      </c>
      <c r="B976" s="492"/>
      <c r="C976" s="492"/>
      <c r="D976" s="282">
        <v>180</v>
      </c>
      <c r="E976" s="201">
        <v>0.4</v>
      </c>
      <c r="F976" s="279">
        <v>0</v>
      </c>
      <c r="G976" s="201">
        <v>18</v>
      </c>
      <c r="H976" s="202">
        <f>E976*4+F976*9+G976*4</f>
        <v>73.6</v>
      </c>
      <c r="I976" s="263">
        <v>12</v>
      </c>
      <c r="J976" s="263"/>
      <c r="K976" s="14"/>
      <c r="L976" s="29"/>
      <c r="M976" s="82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</row>
    <row r="977" spans="1:36" s="18" customFormat="1" ht="24.75" customHeight="1">
      <c r="A977" s="510" t="s">
        <v>18</v>
      </c>
      <c r="B977" s="510"/>
      <c r="C977" s="510"/>
      <c r="D977" s="510"/>
      <c r="E977" s="36">
        <f>SUM(E978:E1013)</f>
        <v>31.3</v>
      </c>
      <c r="F977" s="36">
        <f>SUM(F978:F1013)</f>
        <v>24.999999999999996</v>
      </c>
      <c r="G977" s="36">
        <f>SUM(G978:G1013)</f>
        <v>144.98000000000002</v>
      </c>
      <c r="H977" s="75">
        <f>SUM(H978:H1013)</f>
        <v>913.3199999999999</v>
      </c>
      <c r="I977" s="192">
        <f>SUM(I978:I1013)</f>
        <v>31.1</v>
      </c>
      <c r="J977" s="36"/>
      <c r="K977" s="14"/>
      <c r="L977" s="29"/>
      <c r="M977" s="82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</row>
    <row r="978" spans="1:36" s="18" customFormat="1" ht="24.75" customHeight="1">
      <c r="A978" s="506" t="s">
        <v>533</v>
      </c>
      <c r="B978" s="514"/>
      <c r="C978" s="514"/>
      <c r="D978" s="347">
        <v>80</v>
      </c>
      <c r="E978" s="348">
        <v>0.9</v>
      </c>
      <c r="F978" s="348">
        <v>5.1</v>
      </c>
      <c r="G978" s="201">
        <v>6</v>
      </c>
      <c r="H978" s="202">
        <f>E978*4+F978*9+G978*4</f>
        <v>73.5</v>
      </c>
      <c r="I978" s="263">
        <v>19.6</v>
      </c>
      <c r="J978" s="263" t="s">
        <v>398</v>
      </c>
      <c r="K978" s="14"/>
      <c r="L978" s="29"/>
      <c r="M978" s="82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</row>
    <row r="979" spans="1:36" s="18" customFormat="1" ht="24.75" customHeight="1">
      <c r="A979" s="269" t="s">
        <v>277</v>
      </c>
      <c r="B979" s="272">
        <f>C979*1.18</f>
        <v>89.67999999999999</v>
      </c>
      <c r="C979" s="270">
        <v>76</v>
      </c>
      <c r="D979" s="349"/>
      <c r="E979" s="350"/>
      <c r="F979" s="350"/>
      <c r="G979" s="350"/>
      <c r="H979" s="350"/>
      <c r="I979" s="351"/>
      <c r="J979" s="350"/>
      <c r="K979" s="14"/>
      <c r="L979" s="29"/>
      <c r="M979" s="82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</row>
    <row r="980" spans="1:36" s="18" customFormat="1" ht="24.75" customHeight="1">
      <c r="A980" s="269" t="s">
        <v>264</v>
      </c>
      <c r="B980" s="272">
        <f>C980*1.02</f>
        <v>77.52</v>
      </c>
      <c r="C980" s="270">
        <v>76</v>
      </c>
      <c r="D980" s="349"/>
      <c r="E980" s="350"/>
      <c r="F980" s="334"/>
      <c r="G980" s="334"/>
      <c r="H980" s="352"/>
      <c r="I980" s="288"/>
      <c r="J980" s="288"/>
      <c r="K980" s="14"/>
      <c r="L980" s="29"/>
      <c r="M980" s="82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</row>
    <row r="981" spans="1:36" s="18" customFormat="1" ht="24.75" customHeight="1">
      <c r="A981" s="269" t="s">
        <v>20</v>
      </c>
      <c r="B981" s="270">
        <v>5</v>
      </c>
      <c r="C981" s="270">
        <v>5</v>
      </c>
      <c r="D981" s="349"/>
      <c r="E981" s="350"/>
      <c r="F981" s="334"/>
      <c r="G981" s="334"/>
      <c r="H981" s="352"/>
      <c r="I981" s="288"/>
      <c r="J981" s="288"/>
      <c r="K981" s="14"/>
      <c r="L981" s="29"/>
      <c r="M981" s="82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</row>
    <row r="982" spans="1:36" s="18" customFormat="1" ht="33" customHeight="1">
      <c r="A982" s="511" t="s">
        <v>473</v>
      </c>
      <c r="B982" s="511"/>
      <c r="C982" s="511"/>
      <c r="D982" s="113" t="s">
        <v>340</v>
      </c>
      <c r="E982" s="201">
        <v>6.4</v>
      </c>
      <c r="F982" s="201">
        <v>6.5</v>
      </c>
      <c r="G982" s="201">
        <v>47.8</v>
      </c>
      <c r="H982" s="202">
        <f>E982*4+F982*9+G982*4</f>
        <v>275.29999999999995</v>
      </c>
      <c r="I982" s="263">
        <v>7.7</v>
      </c>
      <c r="J982" s="192" t="s">
        <v>446</v>
      </c>
      <c r="K982" s="50"/>
      <c r="L982" s="29"/>
      <c r="M982" s="82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</row>
    <row r="983" spans="1:36" s="18" customFormat="1" ht="24.75" customHeight="1">
      <c r="A983" s="302" t="s">
        <v>67</v>
      </c>
      <c r="B983" s="325">
        <f>C983*1.18</f>
        <v>18.88</v>
      </c>
      <c r="C983" s="442">
        <v>16</v>
      </c>
      <c r="D983" s="294"/>
      <c r="E983" s="287"/>
      <c r="F983" s="287"/>
      <c r="G983" s="287"/>
      <c r="H983" s="287"/>
      <c r="I983" s="288"/>
      <c r="J983" s="287"/>
      <c r="K983" s="10"/>
      <c r="L983" s="29"/>
      <c r="M983" s="82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</row>
    <row r="984" spans="1:36" s="18" customFormat="1" ht="24.75" customHeight="1">
      <c r="A984" s="299" t="s">
        <v>71</v>
      </c>
      <c r="B984" s="443">
        <f>C984*1.36</f>
        <v>21.76</v>
      </c>
      <c r="C984" s="442">
        <v>16</v>
      </c>
      <c r="D984" s="294"/>
      <c r="E984" s="287"/>
      <c r="F984" s="295"/>
      <c r="G984" s="295"/>
      <c r="H984" s="296"/>
      <c r="I984" s="297"/>
      <c r="J984" s="297"/>
      <c r="K984" s="10"/>
      <c r="L984" s="29"/>
      <c r="M984" s="82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</row>
    <row r="985" spans="1:36" s="18" customFormat="1" ht="24.75" customHeight="1">
      <c r="A985" s="269" t="s">
        <v>146</v>
      </c>
      <c r="B985" s="270">
        <v>25</v>
      </c>
      <c r="C985" s="270">
        <v>25</v>
      </c>
      <c r="D985" s="444"/>
      <c r="E985" s="445"/>
      <c r="F985" s="445"/>
      <c r="G985" s="445"/>
      <c r="H985" s="372"/>
      <c r="I985" s="446"/>
      <c r="J985" s="446"/>
      <c r="K985" s="13"/>
      <c r="L985" s="29"/>
      <c r="M985" s="82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</row>
    <row r="986" spans="1:36" s="18" customFormat="1" ht="24.75" customHeight="1">
      <c r="A986" s="291" t="s">
        <v>21</v>
      </c>
      <c r="B986" s="290">
        <f>C986*1.33</f>
        <v>86.45</v>
      </c>
      <c r="C986" s="329">
        <v>65</v>
      </c>
      <c r="D986" s="281"/>
      <c r="E986" s="283"/>
      <c r="F986" s="283"/>
      <c r="G986" s="283"/>
      <c r="H986" s="281"/>
      <c r="I986" s="284"/>
      <c r="J986" s="284"/>
      <c r="K986" s="65"/>
      <c r="L986" s="29"/>
      <c r="M986" s="82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</row>
    <row r="987" spans="1:36" s="18" customFormat="1" ht="24.75" customHeight="1">
      <c r="A987" s="291" t="s">
        <v>22</v>
      </c>
      <c r="B987" s="290">
        <f>C987*1.43</f>
        <v>92.95</v>
      </c>
      <c r="C987" s="329">
        <v>65</v>
      </c>
      <c r="D987" s="374"/>
      <c r="E987" s="336"/>
      <c r="F987" s="336"/>
      <c r="G987" s="336"/>
      <c r="H987" s="75"/>
      <c r="I987" s="192"/>
      <c r="J987" s="192"/>
      <c r="K987" s="10"/>
      <c r="L987" s="29"/>
      <c r="M987" s="82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</row>
    <row r="988" spans="1:36" s="18" customFormat="1" ht="24.75" customHeight="1">
      <c r="A988" s="285" t="s">
        <v>23</v>
      </c>
      <c r="B988" s="290">
        <f>C988*1.54</f>
        <v>100.10000000000001</v>
      </c>
      <c r="C988" s="329">
        <v>65</v>
      </c>
      <c r="D988" s="376"/>
      <c r="E988" s="367"/>
      <c r="F988" s="367"/>
      <c r="G988" s="367"/>
      <c r="H988" s="329"/>
      <c r="I988" s="318"/>
      <c r="J988" s="318"/>
      <c r="K988" s="10"/>
      <c r="L988" s="29"/>
      <c r="M988" s="82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</row>
    <row r="989" spans="1:11" ht="24.75" customHeight="1">
      <c r="A989" s="285" t="s">
        <v>24</v>
      </c>
      <c r="B989" s="290">
        <f>C989*1.67</f>
        <v>108.55</v>
      </c>
      <c r="C989" s="329">
        <v>65</v>
      </c>
      <c r="D989" s="376"/>
      <c r="E989" s="367"/>
      <c r="F989" s="367"/>
      <c r="G989" s="367"/>
      <c r="H989" s="329"/>
      <c r="I989" s="318"/>
      <c r="J989" s="318"/>
      <c r="K989" s="10"/>
    </row>
    <row r="990" spans="1:11" ht="24.75" customHeight="1">
      <c r="A990" s="291" t="s">
        <v>25</v>
      </c>
      <c r="B990" s="287">
        <f>C990*1.25</f>
        <v>17.5</v>
      </c>
      <c r="C990" s="329">
        <v>14</v>
      </c>
      <c r="D990" s="376"/>
      <c r="E990" s="367"/>
      <c r="F990" s="367"/>
      <c r="G990" s="367"/>
      <c r="H990" s="329"/>
      <c r="I990" s="318"/>
      <c r="J990" s="318"/>
      <c r="K990" s="10"/>
    </row>
    <row r="991" spans="1:36" s="18" customFormat="1" ht="24.75" customHeight="1">
      <c r="A991" s="291" t="s">
        <v>19</v>
      </c>
      <c r="B991" s="287">
        <f>C991*1.33</f>
        <v>18.62</v>
      </c>
      <c r="C991" s="329">
        <v>14</v>
      </c>
      <c r="D991" s="376"/>
      <c r="E991" s="367"/>
      <c r="F991" s="367"/>
      <c r="G991" s="367"/>
      <c r="H991" s="329"/>
      <c r="I991" s="318"/>
      <c r="J991" s="318"/>
      <c r="K991" s="10"/>
      <c r="L991" s="29"/>
      <c r="M991" s="82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</row>
    <row r="992" spans="1:36" s="18" customFormat="1" ht="24.75" customHeight="1">
      <c r="A992" s="291" t="s">
        <v>26</v>
      </c>
      <c r="B992" s="290">
        <f>C992*1.19</f>
        <v>16.66</v>
      </c>
      <c r="C992" s="329">
        <v>14</v>
      </c>
      <c r="D992" s="376"/>
      <c r="E992" s="367"/>
      <c r="F992" s="367"/>
      <c r="G992" s="367"/>
      <c r="H992" s="329"/>
      <c r="I992" s="318"/>
      <c r="J992" s="318"/>
      <c r="K992" s="10"/>
      <c r="L992" s="29"/>
      <c r="M992" s="82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</row>
    <row r="993" spans="1:36" s="18" customFormat="1" ht="24.75" customHeight="1">
      <c r="A993" s="291" t="s">
        <v>27</v>
      </c>
      <c r="B993" s="329">
        <v>8</v>
      </c>
      <c r="C993" s="329">
        <v>8</v>
      </c>
      <c r="D993" s="376"/>
      <c r="E993" s="367"/>
      <c r="F993" s="367"/>
      <c r="G993" s="367"/>
      <c r="H993" s="329"/>
      <c r="I993" s="318"/>
      <c r="J993" s="318"/>
      <c r="K993" s="10"/>
      <c r="L993" s="29"/>
      <c r="M993" s="82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</row>
    <row r="994" spans="1:11" ht="24.75" customHeight="1">
      <c r="A994" s="269" t="s">
        <v>147</v>
      </c>
      <c r="B994" s="286">
        <v>57</v>
      </c>
      <c r="C994" s="286">
        <v>48</v>
      </c>
      <c r="D994" s="286"/>
      <c r="E994" s="287"/>
      <c r="F994" s="287"/>
      <c r="G994" s="287"/>
      <c r="H994" s="290"/>
      <c r="I994" s="288"/>
      <c r="J994" s="288"/>
      <c r="K994" s="52"/>
    </row>
    <row r="995" spans="1:36" s="18" customFormat="1" ht="24.75" customHeight="1">
      <c r="A995" s="285" t="s">
        <v>68</v>
      </c>
      <c r="B995" s="290">
        <f>C995*1.35</f>
        <v>4.050000000000001</v>
      </c>
      <c r="C995" s="376">
        <v>3</v>
      </c>
      <c r="D995" s="376"/>
      <c r="E995" s="367"/>
      <c r="F995" s="367"/>
      <c r="G995" s="367"/>
      <c r="H995" s="329"/>
      <c r="I995" s="318"/>
      <c r="J995" s="318"/>
      <c r="K995" s="41"/>
      <c r="L995" s="29"/>
      <c r="M995" s="82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</row>
    <row r="996" spans="1:36" s="18" customFormat="1" ht="24.75" customHeight="1">
      <c r="A996" s="501" t="s">
        <v>437</v>
      </c>
      <c r="B996" s="501"/>
      <c r="C996" s="501"/>
      <c r="D996" s="113">
        <v>130</v>
      </c>
      <c r="E996" s="36">
        <v>13.9</v>
      </c>
      <c r="F996" s="36">
        <v>6.4</v>
      </c>
      <c r="G996" s="36">
        <v>0.5</v>
      </c>
      <c r="H996" s="75">
        <f>E996*4+F996*9+G996*4</f>
        <v>115.2</v>
      </c>
      <c r="I996" s="192">
        <v>0</v>
      </c>
      <c r="J996" s="192" t="s">
        <v>373</v>
      </c>
      <c r="K996" s="13"/>
      <c r="L996" s="29"/>
      <c r="M996" s="82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</row>
    <row r="997" spans="1:11" ht="24.75" customHeight="1">
      <c r="A997" s="326" t="s">
        <v>179</v>
      </c>
      <c r="B997" s="325">
        <f>C997*1.43</f>
        <v>227.21111111111114</v>
      </c>
      <c r="C997" s="329">
        <v>158.8888888888889</v>
      </c>
      <c r="D997" s="329"/>
      <c r="E997" s="367"/>
      <c r="F997" s="367"/>
      <c r="G997" s="367"/>
      <c r="H997" s="376"/>
      <c r="I997" s="318"/>
      <c r="J997" s="376"/>
      <c r="K997" s="14"/>
    </row>
    <row r="998" spans="1:36" s="18" customFormat="1" ht="24.75" customHeight="1">
      <c r="A998" s="324" t="s">
        <v>180</v>
      </c>
      <c r="B998" s="325">
        <f>C998*1.72</f>
        <v>273.28888888888895</v>
      </c>
      <c r="C998" s="329">
        <v>158.8888888888889</v>
      </c>
      <c r="D998" s="113"/>
      <c r="E998" s="36"/>
      <c r="F998" s="36"/>
      <c r="G998" s="36"/>
      <c r="H998" s="75"/>
      <c r="I998" s="192"/>
      <c r="J998" s="192"/>
      <c r="K998" s="14"/>
      <c r="L998" s="29"/>
      <c r="M998" s="82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</row>
    <row r="999" spans="1:36" s="18" customFormat="1" ht="24.75" customHeight="1">
      <c r="A999" s="326" t="s">
        <v>115</v>
      </c>
      <c r="B999" s="325">
        <f>C999*1.35</f>
        <v>216.45</v>
      </c>
      <c r="C999" s="329">
        <v>160.33333333333331</v>
      </c>
      <c r="D999" s="329"/>
      <c r="E999" s="367"/>
      <c r="F999" s="367"/>
      <c r="G999" s="367"/>
      <c r="H999" s="329"/>
      <c r="I999" s="318"/>
      <c r="J999" s="318"/>
      <c r="K999" s="14"/>
      <c r="L999" s="29"/>
      <c r="M999" s="82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</row>
    <row r="1000" spans="1:36" s="18" customFormat="1" ht="24.75" customHeight="1">
      <c r="A1000" s="326" t="s">
        <v>480</v>
      </c>
      <c r="B1000" s="325">
        <f>C1000*1.08</f>
        <v>173.16</v>
      </c>
      <c r="C1000" s="329">
        <v>160.33333333333331</v>
      </c>
      <c r="D1000" s="329"/>
      <c r="E1000" s="367"/>
      <c r="F1000" s="367"/>
      <c r="G1000" s="367"/>
      <c r="H1000" s="329"/>
      <c r="I1000" s="318"/>
      <c r="J1000" s="318"/>
      <c r="K1000" s="14"/>
      <c r="L1000" s="29"/>
      <c r="M1000" s="82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</row>
    <row r="1001" spans="1:36" s="18" customFormat="1" ht="24.75" customHeight="1" thickBot="1">
      <c r="A1001" s="324" t="s">
        <v>181</v>
      </c>
      <c r="B1001" s="325">
        <f>C1001*1.72</f>
        <v>273.28888888888895</v>
      </c>
      <c r="C1001" s="329">
        <v>158.8888888888889</v>
      </c>
      <c r="D1001" s="329"/>
      <c r="E1001" s="367"/>
      <c r="F1001" s="367"/>
      <c r="G1001" s="367"/>
      <c r="H1001" s="329"/>
      <c r="I1001" s="318"/>
      <c r="J1001" s="318"/>
      <c r="K1001" s="14"/>
      <c r="L1001" s="115" t="s">
        <v>66</v>
      </c>
      <c r="M1001" s="78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</row>
    <row r="1002" spans="1:36" s="18" customFormat="1" ht="24.75" customHeight="1">
      <c r="A1002" s="298" t="s">
        <v>26</v>
      </c>
      <c r="B1002" s="290">
        <f>C1002*1.19</f>
        <v>15.469999999999999</v>
      </c>
      <c r="C1002" s="290">
        <v>13</v>
      </c>
      <c r="D1002" s="329"/>
      <c r="E1002" s="287"/>
      <c r="F1002" s="287"/>
      <c r="G1002" s="287"/>
      <c r="H1002" s="290"/>
      <c r="I1002" s="288"/>
      <c r="J1002" s="288"/>
      <c r="K1002" s="14"/>
      <c r="L1002" s="42" t="s">
        <v>70</v>
      </c>
      <c r="M1002" s="78">
        <f>D1103+D1128</f>
        <v>120</v>
      </c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</row>
    <row r="1003" spans="1:14" ht="24.75" customHeight="1">
      <c r="A1003" s="496" t="s">
        <v>558</v>
      </c>
      <c r="B1003" s="496"/>
      <c r="C1003" s="496"/>
      <c r="D1003" s="227">
        <v>200</v>
      </c>
      <c r="E1003" s="201">
        <v>2</v>
      </c>
      <c r="F1003" s="201">
        <v>5.4</v>
      </c>
      <c r="G1003" s="201">
        <v>31</v>
      </c>
      <c r="H1003" s="202">
        <f>E1003*4+F1003*9+G1003*4</f>
        <v>180.6</v>
      </c>
      <c r="I1003" s="192">
        <v>2.2</v>
      </c>
      <c r="J1003" s="263" t="s">
        <v>334</v>
      </c>
      <c r="K1003" s="14"/>
      <c r="L1003" s="25" t="s">
        <v>80</v>
      </c>
      <c r="M1003" s="78">
        <f>D1102+D1129+B1052+B1061+D1105</f>
        <v>203.42857142857144</v>
      </c>
      <c r="N1003" s="84">
        <f>B1052+D1102+D1129</f>
        <v>93.42857142857143</v>
      </c>
    </row>
    <row r="1004" spans="1:13" ht="24.75" customHeight="1">
      <c r="A1004" s="269" t="s">
        <v>31</v>
      </c>
      <c r="B1004" s="270">
        <v>60</v>
      </c>
      <c r="C1004" s="270">
        <v>60</v>
      </c>
      <c r="D1004" s="270"/>
      <c r="E1004" s="271"/>
      <c r="F1004" s="271"/>
      <c r="G1004" s="36"/>
      <c r="H1004" s="75"/>
      <c r="I1004" s="309"/>
      <c r="J1004" s="273"/>
      <c r="K1004" s="14"/>
      <c r="L1004" s="25" t="s">
        <v>81</v>
      </c>
      <c r="M1004" s="78">
        <f>B1048+B1093</f>
        <v>11</v>
      </c>
    </row>
    <row r="1005" spans="1:13" ht="24.75" customHeight="1">
      <c r="A1005" s="285" t="s">
        <v>27</v>
      </c>
      <c r="B1005" s="286">
        <v>5</v>
      </c>
      <c r="C1005" s="286">
        <v>5</v>
      </c>
      <c r="D1005" s="296"/>
      <c r="E1005" s="295"/>
      <c r="F1005" s="295"/>
      <c r="G1005" s="295"/>
      <c r="H1005" s="296"/>
      <c r="I1005" s="288"/>
      <c r="J1005" s="410"/>
      <c r="K1005" s="14"/>
      <c r="L1005" s="26" t="s">
        <v>123</v>
      </c>
      <c r="M1005" s="79">
        <f>B1120</f>
        <v>68</v>
      </c>
    </row>
    <row r="1006" spans="1:13" ht="24.75" customHeight="1">
      <c r="A1006" s="291" t="s">
        <v>25</v>
      </c>
      <c r="B1006" s="287">
        <f>C1006*1.25</f>
        <v>37.5</v>
      </c>
      <c r="C1006" s="329">
        <v>30</v>
      </c>
      <c r="D1006" s="296"/>
      <c r="E1006" s="295"/>
      <c r="F1006" s="295"/>
      <c r="G1006" s="295"/>
      <c r="H1006" s="296"/>
      <c r="I1006" s="288"/>
      <c r="J1006" s="410"/>
      <c r="K1006" s="14"/>
      <c r="L1006" s="26"/>
      <c r="M1006" s="79"/>
    </row>
    <row r="1007" spans="1:13" ht="24.75" customHeight="1">
      <c r="A1007" s="291" t="s">
        <v>19</v>
      </c>
      <c r="B1007" s="287">
        <f>C1007*1.33</f>
        <v>39.900000000000006</v>
      </c>
      <c r="C1007" s="329">
        <v>30</v>
      </c>
      <c r="D1007" s="270"/>
      <c r="E1007" s="271"/>
      <c r="F1007" s="271"/>
      <c r="G1007" s="36"/>
      <c r="H1007" s="75"/>
      <c r="I1007" s="249"/>
      <c r="J1007" s="273"/>
      <c r="K1007" s="14"/>
      <c r="L1007" s="26"/>
      <c r="M1007" s="79">
        <f>C1097</f>
        <v>70</v>
      </c>
    </row>
    <row r="1008" spans="1:36" s="18" customFormat="1" ht="24.75" customHeight="1">
      <c r="A1008" s="501" t="s">
        <v>46</v>
      </c>
      <c r="B1008" s="501"/>
      <c r="C1008" s="501"/>
      <c r="D1008" s="113">
        <v>200</v>
      </c>
      <c r="E1008" s="36">
        <v>0.2</v>
      </c>
      <c r="F1008" s="36">
        <v>0.2</v>
      </c>
      <c r="G1008" s="36">
        <v>21.1</v>
      </c>
      <c r="H1008" s="75">
        <f>E1008*4+F1008*9+G1008*4</f>
        <v>87</v>
      </c>
      <c r="I1008" s="192">
        <v>1.6</v>
      </c>
      <c r="J1008" s="192" t="s">
        <v>369</v>
      </c>
      <c r="K1008" s="14"/>
      <c r="L1008" s="195" t="s">
        <v>197</v>
      </c>
      <c r="M1008" s="82">
        <f>B1054</f>
        <v>30.2</v>
      </c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</row>
    <row r="1009" spans="1:36" s="18" customFormat="1" ht="24.75" customHeight="1">
      <c r="A1009" s="298" t="s">
        <v>338</v>
      </c>
      <c r="B1009" s="286">
        <f>C1009*1.14</f>
        <v>45.599999999999994</v>
      </c>
      <c r="C1009" s="286">
        <v>40</v>
      </c>
      <c r="D1009" s="286"/>
      <c r="E1009" s="287"/>
      <c r="F1009" s="287"/>
      <c r="G1009" s="287"/>
      <c r="H1009" s="286"/>
      <c r="I1009" s="288"/>
      <c r="J1009" s="288"/>
      <c r="K1009" s="14"/>
      <c r="L1009" s="25" t="s">
        <v>125</v>
      </c>
      <c r="M1009" s="79">
        <f>B1056</f>
        <v>1</v>
      </c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</row>
    <row r="1010" spans="1:36" s="18" customFormat="1" ht="24.75" customHeight="1">
      <c r="A1010" s="298" t="s">
        <v>339</v>
      </c>
      <c r="B1010" s="286">
        <f>C1010*1.11</f>
        <v>44.400000000000006</v>
      </c>
      <c r="C1010" s="286">
        <v>40</v>
      </c>
      <c r="D1010" s="286"/>
      <c r="E1010" s="287"/>
      <c r="F1010" s="287"/>
      <c r="G1010" s="287"/>
      <c r="H1010" s="286"/>
      <c r="I1010" s="288"/>
      <c r="J1010" s="288"/>
      <c r="K1010" s="14"/>
      <c r="L1010" s="25" t="s">
        <v>86</v>
      </c>
      <c r="M1010" s="79">
        <f>B1125</f>
        <v>0.4</v>
      </c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</row>
    <row r="1011" spans="1:13" ht="24.75" customHeight="1">
      <c r="A1011" s="285" t="s">
        <v>12</v>
      </c>
      <c r="B1011" s="286">
        <v>15</v>
      </c>
      <c r="C1011" s="286">
        <v>15</v>
      </c>
      <c r="D1011" s="286"/>
      <c r="E1011" s="287"/>
      <c r="F1011" s="287"/>
      <c r="G1011" s="287"/>
      <c r="H1011" s="286"/>
      <c r="I1011" s="288"/>
      <c r="J1011" s="288"/>
      <c r="K1011" s="14"/>
      <c r="L1011" s="25" t="s">
        <v>136</v>
      </c>
      <c r="M1011" s="79">
        <f>B1090</f>
        <v>107.44000000000001</v>
      </c>
    </row>
    <row r="1012" spans="1:13" ht="24.75" customHeight="1">
      <c r="A1012" s="501" t="s">
        <v>267</v>
      </c>
      <c r="B1012" s="501"/>
      <c r="C1012" s="501"/>
      <c r="D1012" s="113">
        <v>40</v>
      </c>
      <c r="E1012" s="36">
        <v>3.2799999999999994</v>
      </c>
      <c r="F1012" s="36">
        <v>0.5600000000000002</v>
      </c>
      <c r="G1012" s="36">
        <v>15.2</v>
      </c>
      <c r="H1012" s="75">
        <v>62.72</v>
      </c>
      <c r="I1012" s="192">
        <v>0</v>
      </c>
      <c r="J1012" s="192"/>
      <c r="K1012" s="14"/>
      <c r="L1012" s="195" t="s">
        <v>199</v>
      </c>
      <c r="M1012" s="78">
        <f>B1115</f>
        <v>162.8</v>
      </c>
    </row>
    <row r="1013" spans="1:36" s="18" customFormat="1" ht="24.75" customHeight="1">
      <c r="A1013" s="506" t="s">
        <v>70</v>
      </c>
      <c r="B1013" s="506"/>
      <c r="C1013" s="506"/>
      <c r="D1013" s="227">
        <v>70</v>
      </c>
      <c r="E1013" s="201">
        <v>4.62</v>
      </c>
      <c r="F1013" s="201">
        <v>0.84</v>
      </c>
      <c r="G1013" s="201">
        <v>23.38</v>
      </c>
      <c r="H1013" s="202">
        <v>119</v>
      </c>
      <c r="I1013" s="263">
        <v>0</v>
      </c>
      <c r="J1013" s="263"/>
      <c r="K1013" s="14"/>
      <c r="L1013" s="25" t="s">
        <v>87</v>
      </c>
      <c r="M1013" s="79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</row>
    <row r="1014" spans="1:36" s="18" customFormat="1" ht="24.75" customHeight="1">
      <c r="A1014" s="510" t="s">
        <v>59</v>
      </c>
      <c r="B1014" s="510"/>
      <c r="C1014" s="510"/>
      <c r="D1014" s="510"/>
      <c r="E1014" s="36">
        <f>SUM(E1015:E1017)</f>
        <v>1.6</v>
      </c>
      <c r="F1014" s="36">
        <f>SUM(F1015:F1017)</f>
        <v>1.6</v>
      </c>
      <c r="G1014" s="36">
        <f>SUM(G1015:G1017)</f>
        <v>68.6</v>
      </c>
      <c r="H1014" s="75">
        <f>SUM(H1015:H1017)</f>
        <v>295.20000000000005</v>
      </c>
      <c r="I1014" s="192">
        <f>SUM(I1015:I1017)</f>
        <v>19</v>
      </c>
      <c r="J1014" s="36"/>
      <c r="K1014" s="14"/>
      <c r="L1014" s="25" t="s">
        <v>127</v>
      </c>
      <c r="M1014" s="79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</row>
    <row r="1015" spans="1:36" s="18" customFormat="1" ht="24.75" customHeight="1">
      <c r="A1015" s="495" t="s">
        <v>563</v>
      </c>
      <c r="B1015" s="495"/>
      <c r="C1015" s="495"/>
      <c r="D1015" s="282">
        <v>90</v>
      </c>
      <c r="E1015" s="292">
        <v>1.5</v>
      </c>
      <c r="F1015" s="292">
        <v>1.6</v>
      </c>
      <c r="G1015" s="292">
        <v>46.6</v>
      </c>
      <c r="H1015" s="75">
        <f>E1015*4+F1015*9+G1015*4</f>
        <v>206.8</v>
      </c>
      <c r="I1015" s="192">
        <v>0</v>
      </c>
      <c r="J1015" s="192"/>
      <c r="K1015" s="14"/>
      <c r="L1015" s="26" t="s">
        <v>128</v>
      </c>
      <c r="M1015" s="77">
        <f>B1132++B1058</f>
        <v>310</v>
      </c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</row>
    <row r="1016" spans="1:14" ht="31.5" customHeight="1">
      <c r="A1016" s="513" t="s">
        <v>390</v>
      </c>
      <c r="B1016" s="513"/>
      <c r="C1016" s="513"/>
      <c r="D1016" s="282"/>
      <c r="E1016" s="292"/>
      <c r="F1016" s="292"/>
      <c r="G1016" s="292"/>
      <c r="H1016" s="75"/>
      <c r="I1016" s="192"/>
      <c r="J1016" s="192"/>
      <c r="K1016" s="14"/>
      <c r="L1016" s="26"/>
      <c r="M1016" s="77">
        <f>D1059</f>
        <v>90</v>
      </c>
      <c r="N1016" s="84">
        <f>+B1132</f>
        <v>210</v>
      </c>
    </row>
    <row r="1017" spans="1:13" ht="59.25" customHeight="1">
      <c r="A1017" s="483" t="s">
        <v>487</v>
      </c>
      <c r="B1017" s="483"/>
      <c r="C1017" s="483"/>
      <c r="D1017" s="227">
        <v>200</v>
      </c>
      <c r="E1017" s="201">
        <v>0.1</v>
      </c>
      <c r="F1017" s="201">
        <v>0</v>
      </c>
      <c r="G1017" s="201">
        <v>22</v>
      </c>
      <c r="H1017" s="202">
        <f>E1017*4+F1017*9+G1017*4</f>
        <v>88.4</v>
      </c>
      <c r="I1017" s="263">
        <v>19</v>
      </c>
      <c r="J1017" s="292" t="s">
        <v>486</v>
      </c>
      <c r="K1017" s="10"/>
      <c r="L1017" s="25" t="s">
        <v>88</v>
      </c>
      <c r="M1017" s="79">
        <f>B1046</f>
        <v>77</v>
      </c>
    </row>
    <row r="1018" spans="1:14" ht="24.75" customHeight="1">
      <c r="A1018" s="510" t="s">
        <v>30</v>
      </c>
      <c r="B1018" s="510"/>
      <c r="C1018" s="510"/>
      <c r="D1018" s="510"/>
      <c r="E1018" s="36">
        <f>SUM(E1019:E1037)</f>
        <v>19.133333333333333</v>
      </c>
      <c r="F1018" s="36">
        <f>SUM(F1019:F1037)</f>
        <v>31.900000000000002</v>
      </c>
      <c r="G1018" s="36">
        <f>SUM(G1019:G1037)</f>
        <v>81.84166666666667</v>
      </c>
      <c r="H1018" s="75">
        <f>SUM(H1019:H1037)</f>
        <v>750.8</v>
      </c>
      <c r="I1018" s="192">
        <f>SUM(I1019:I1037)</f>
        <v>43.10999999999999</v>
      </c>
      <c r="J1018" s="36"/>
      <c r="K1018" s="10"/>
      <c r="L1018" s="25" t="s">
        <v>89</v>
      </c>
      <c r="M1018" s="79">
        <f>B1094+B1086++B1053</f>
        <v>17.7</v>
      </c>
      <c r="N1018" s="153">
        <f>B1053+B1086+B1094</f>
        <v>17.7</v>
      </c>
    </row>
    <row r="1019" spans="1:14" ht="24.75" customHeight="1">
      <c r="A1019" s="344" t="s">
        <v>230</v>
      </c>
      <c r="B1019" s="270">
        <f>C1019*1.1</f>
        <v>88</v>
      </c>
      <c r="C1019" s="270">
        <v>80</v>
      </c>
      <c r="D1019" s="113">
        <v>80</v>
      </c>
      <c r="E1019" s="36">
        <v>0.5333333333333333</v>
      </c>
      <c r="F1019" s="36">
        <v>0</v>
      </c>
      <c r="G1019" s="36">
        <v>1.4666666666666668</v>
      </c>
      <c r="H1019" s="75">
        <f>E1019*4+F1019*9+G1019*4</f>
        <v>8</v>
      </c>
      <c r="I1019" s="192">
        <v>7.84</v>
      </c>
      <c r="J1019" s="192"/>
      <c r="K1019" s="10"/>
      <c r="L1019" s="25" t="s">
        <v>132</v>
      </c>
      <c r="M1019" s="78"/>
      <c r="N1019" s="84"/>
    </row>
    <row r="1020" spans="1:13" ht="24.75" customHeight="1">
      <c r="A1020" s="277" t="s">
        <v>231</v>
      </c>
      <c r="B1020" s="290">
        <f>C1020*1.05</f>
        <v>84</v>
      </c>
      <c r="C1020" s="317">
        <v>80</v>
      </c>
      <c r="D1020" s="113"/>
      <c r="E1020" s="36"/>
      <c r="F1020" s="36"/>
      <c r="G1020" s="36"/>
      <c r="H1020" s="75"/>
      <c r="I1020" s="192"/>
      <c r="J1020" s="192"/>
      <c r="L1020" s="25" t="s">
        <v>90</v>
      </c>
      <c r="M1020" s="78">
        <f>B1051+B1085++B1098++B1062</f>
        <v>25.3</v>
      </c>
    </row>
    <row r="1021" spans="1:14" ht="24.75" customHeight="1">
      <c r="A1021" s="277" t="s">
        <v>232</v>
      </c>
      <c r="B1021" s="290">
        <f>C1021*1.02</f>
        <v>81.6</v>
      </c>
      <c r="C1021" s="317">
        <v>80</v>
      </c>
      <c r="D1021" s="113"/>
      <c r="E1021" s="36"/>
      <c r="F1021" s="36"/>
      <c r="G1021" s="36"/>
      <c r="H1021" s="75"/>
      <c r="I1021" s="192"/>
      <c r="J1021" s="192"/>
      <c r="L1021" s="25" t="s">
        <v>63</v>
      </c>
      <c r="M1021" s="78">
        <f>B1091++B1118++B1072</f>
        <v>18</v>
      </c>
      <c r="N1021" s="84">
        <f>B1091+N1026</f>
        <v>5</v>
      </c>
    </row>
    <row r="1022" spans="1:14" ht="24.75" customHeight="1" thickBot="1">
      <c r="A1022" s="482" t="s">
        <v>541</v>
      </c>
      <c r="B1022" s="482"/>
      <c r="C1022" s="482"/>
      <c r="D1022" s="260" t="s">
        <v>240</v>
      </c>
      <c r="E1022" s="201">
        <v>6.5</v>
      </c>
      <c r="F1022" s="201">
        <v>20.5</v>
      </c>
      <c r="G1022" s="201">
        <v>0.8749999999999999</v>
      </c>
      <c r="H1022" s="202">
        <f>E1022*4+F1022*9+G1022*4</f>
        <v>214</v>
      </c>
      <c r="I1022" s="263">
        <v>0</v>
      </c>
      <c r="J1022" s="263" t="s">
        <v>355</v>
      </c>
      <c r="L1022" s="27" t="s">
        <v>91</v>
      </c>
      <c r="M1022" s="78">
        <f>B1050</f>
        <v>2.3</v>
      </c>
      <c r="N1022" s="84"/>
    </row>
    <row r="1023" spans="1:14" ht="24.75" customHeight="1">
      <c r="A1023" s="298" t="s">
        <v>542</v>
      </c>
      <c r="B1023" s="286">
        <v>102</v>
      </c>
      <c r="C1023" s="376">
        <v>100</v>
      </c>
      <c r="D1023" s="376"/>
      <c r="E1023" s="367"/>
      <c r="F1023" s="367"/>
      <c r="G1023" s="367"/>
      <c r="H1023" s="329"/>
      <c r="I1023" s="318"/>
      <c r="J1023" s="318"/>
      <c r="K1023" s="10"/>
      <c r="L1023" s="29" t="s">
        <v>200</v>
      </c>
      <c r="N1023" s="84"/>
    </row>
    <row r="1024" spans="1:36" s="18" customFormat="1" ht="24.75" customHeight="1">
      <c r="A1024" s="285" t="s">
        <v>27</v>
      </c>
      <c r="B1024" s="376">
        <v>5</v>
      </c>
      <c r="C1024" s="376">
        <v>5</v>
      </c>
      <c r="D1024" s="376"/>
      <c r="E1024" s="367"/>
      <c r="F1024" s="367"/>
      <c r="G1024" s="367"/>
      <c r="H1024" s="367"/>
      <c r="I1024" s="318"/>
      <c r="J1024" s="318"/>
      <c r="K1024" s="14"/>
      <c r="L1024" s="29" t="s">
        <v>206</v>
      </c>
      <c r="M1024" s="156"/>
      <c r="N1024" s="8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</row>
    <row r="1025" spans="1:36" s="18" customFormat="1" ht="24.75" customHeight="1">
      <c r="A1025" s="501" t="s">
        <v>48</v>
      </c>
      <c r="B1025" s="501"/>
      <c r="C1025" s="501"/>
      <c r="D1025" s="113">
        <v>200</v>
      </c>
      <c r="E1025" s="36">
        <v>4.3</v>
      </c>
      <c r="F1025" s="36">
        <v>6</v>
      </c>
      <c r="G1025" s="36">
        <v>28.8</v>
      </c>
      <c r="H1025" s="75">
        <f>E1025*4+F1025*9+G1025*4</f>
        <v>186.4</v>
      </c>
      <c r="I1025" s="192">
        <v>33.9</v>
      </c>
      <c r="J1025" s="263" t="s">
        <v>356</v>
      </c>
      <c r="K1025" s="14"/>
      <c r="L1025" s="29"/>
      <c r="M1025" s="82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</row>
    <row r="1026" spans="1:36" s="18" customFormat="1" ht="24.75" customHeight="1">
      <c r="A1026" s="280" t="s">
        <v>21</v>
      </c>
      <c r="B1026" s="290">
        <f>C1026*1.33</f>
        <v>227.1230769230769</v>
      </c>
      <c r="C1026" s="272">
        <v>170.76923076923075</v>
      </c>
      <c r="D1026" s="281"/>
      <c r="E1026" s="283"/>
      <c r="F1026" s="283"/>
      <c r="G1026" s="283"/>
      <c r="H1026" s="281"/>
      <c r="I1026" s="284"/>
      <c r="J1026" s="284"/>
      <c r="K1026" s="14"/>
      <c r="L1026" s="29"/>
      <c r="M1026" s="82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</row>
    <row r="1027" spans="1:36" s="18" customFormat="1" ht="24.75" customHeight="1">
      <c r="A1027" s="269" t="s">
        <v>22</v>
      </c>
      <c r="B1027" s="290">
        <f>C1027*1.43</f>
        <v>244.19999999999996</v>
      </c>
      <c r="C1027" s="272">
        <v>170.76923076923075</v>
      </c>
      <c r="D1027" s="272"/>
      <c r="E1027" s="271"/>
      <c r="F1027" s="271"/>
      <c r="G1027" s="271"/>
      <c r="H1027" s="272"/>
      <c r="I1027" s="273"/>
      <c r="J1027" s="273"/>
      <c r="K1027" s="47"/>
      <c r="L1027" s="29"/>
      <c r="M1027" s="82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</row>
    <row r="1028" spans="1:36" s="18" customFormat="1" ht="24.75" customHeight="1">
      <c r="A1028" s="285" t="s">
        <v>23</v>
      </c>
      <c r="B1028" s="290">
        <f>C1028*1.54</f>
        <v>262.9846153846154</v>
      </c>
      <c r="C1028" s="272">
        <v>170.76923076923075</v>
      </c>
      <c r="D1028" s="272"/>
      <c r="E1028" s="271"/>
      <c r="F1028" s="271"/>
      <c r="G1028" s="271"/>
      <c r="H1028" s="272"/>
      <c r="I1028" s="273"/>
      <c r="J1028" s="273"/>
      <c r="K1028" s="13"/>
      <c r="L1028" s="29"/>
      <c r="M1028" s="82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</row>
    <row r="1029" spans="1:36" s="18" customFormat="1" ht="24.75" customHeight="1">
      <c r="A1029" s="285" t="s">
        <v>24</v>
      </c>
      <c r="B1029" s="290">
        <f>C1029*1.67</f>
        <v>285.1846153846153</v>
      </c>
      <c r="C1029" s="272">
        <v>170.76923076923075</v>
      </c>
      <c r="D1029" s="272"/>
      <c r="E1029" s="271"/>
      <c r="F1029" s="271"/>
      <c r="G1029" s="271"/>
      <c r="H1029" s="272"/>
      <c r="I1029" s="273"/>
      <c r="J1029" s="273"/>
      <c r="K1029" s="14"/>
      <c r="L1029" s="29"/>
      <c r="M1029" s="82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</row>
    <row r="1030" spans="1:36" s="18" customFormat="1" ht="24.75" customHeight="1">
      <c r="A1030" s="280" t="s">
        <v>148</v>
      </c>
      <c r="B1030" s="167">
        <v>32</v>
      </c>
      <c r="C1030" s="167">
        <v>32</v>
      </c>
      <c r="D1030" s="167"/>
      <c r="E1030" s="266"/>
      <c r="F1030" s="266"/>
      <c r="G1030" s="266"/>
      <c r="H1030" s="167"/>
      <c r="I1030" s="267"/>
      <c r="J1030" s="267"/>
      <c r="K1030" s="14"/>
      <c r="L1030" s="29"/>
      <c r="M1030" s="82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</row>
    <row r="1031" spans="1:36" s="18" customFormat="1" ht="24.75" customHeight="1">
      <c r="A1031" s="269" t="s">
        <v>27</v>
      </c>
      <c r="B1031" s="272">
        <v>5</v>
      </c>
      <c r="C1031" s="272">
        <v>5</v>
      </c>
      <c r="D1031" s="272"/>
      <c r="E1031" s="271"/>
      <c r="F1031" s="271"/>
      <c r="G1031" s="271"/>
      <c r="H1031" s="272"/>
      <c r="I1031" s="273"/>
      <c r="J1031" s="273"/>
      <c r="K1031" s="14"/>
      <c r="L1031" s="29"/>
      <c r="M1031" s="82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</row>
    <row r="1032" spans="1:36" s="18" customFormat="1" ht="24.75" customHeight="1">
      <c r="A1032" s="262" t="s">
        <v>247</v>
      </c>
      <c r="B1032" s="270"/>
      <c r="C1032" s="270"/>
      <c r="D1032" s="113" t="s">
        <v>204</v>
      </c>
      <c r="E1032" s="36">
        <v>0.3</v>
      </c>
      <c r="F1032" s="36">
        <v>0</v>
      </c>
      <c r="G1032" s="36">
        <v>16</v>
      </c>
      <c r="H1032" s="75">
        <v>125</v>
      </c>
      <c r="I1032" s="192">
        <v>0</v>
      </c>
      <c r="J1032" s="192" t="s">
        <v>344</v>
      </c>
      <c r="K1032" s="14"/>
      <c r="L1032" s="29"/>
      <c r="M1032" s="82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</row>
    <row r="1033" spans="1:36" s="18" customFormat="1" ht="24.75" customHeight="1">
      <c r="A1033" s="269" t="s">
        <v>16</v>
      </c>
      <c r="B1033" s="270">
        <v>0.4</v>
      </c>
      <c r="C1033" s="270">
        <v>0.4</v>
      </c>
      <c r="D1033" s="270"/>
      <c r="E1033" s="271"/>
      <c r="F1033" s="271"/>
      <c r="G1033" s="271"/>
      <c r="H1033" s="272"/>
      <c r="I1033" s="273"/>
      <c r="J1033" s="273"/>
      <c r="K1033" s="10"/>
      <c r="L1033" s="29"/>
      <c r="M1033" s="82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</row>
    <row r="1034" spans="1:36" s="18" customFormat="1" ht="24.75" customHeight="1">
      <c r="A1034" s="269" t="s">
        <v>397</v>
      </c>
      <c r="B1034" s="270">
        <v>20</v>
      </c>
      <c r="C1034" s="270">
        <v>20</v>
      </c>
      <c r="D1034" s="270"/>
      <c r="E1034" s="271"/>
      <c r="F1034" s="271"/>
      <c r="G1034" s="271"/>
      <c r="H1034" s="271"/>
      <c r="I1034" s="273"/>
      <c r="J1034" s="271"/>
      <c r="K1034" s="10"/>
      <c r="L1034" s="29"/>
      <c r="M1034" s="82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</row>
    <row r="1035" spans="1:36" s="18" customFormat="1" ht="24.75" customHeight="1">
      <c r="A1035" s="506" t="s">
        <v>70</v>
      </c>
      <c r="B1035" s="506"/>
      <c r="C1035" s="506"/>
      <c r="D1035" s="227">
        <v>50</v>
      </c>
      <c r="E1035" s="201">
        <v>3.3</v>
      </c>
      <c r="F1035" s="201">
        <v>0.6</v>
      </c>
      <c r="G1035" s="201">
        <v>16.7</v>
      </c>
      <c r="H1035" s="202">
        <f>E1035*4+F1035*9+G1035*4</f>
        <v>85.39999999999999</v>
      </c>
      <c r="I1035" s="263">
        <v>0</v>
      </c>
      <c r="J1035" s="263"/>
      <c r="K1035" s="14"/>
      <c r="L1035" s="29"/>
      <c r="M1035" s="82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</row>
    <row r="1036" spans="1:36" s="18" customFormat="1" ht="24.75" customHeight="1">
      <c r="A1036" s="499" t="s">
        <v>220</v>
      </c>
      <c r="B1036" s="500"/>
      <c r="C1036" s="500"/>
      <c r="D1036" s="500"/>
      <c r="E1036" s="500"/>
      <c r="F1036" s="500"/>
      <c r="G1036" s="500"/>
      <c r="H1036" s="500"/>
      <c r="I1036" s="500"/>
      <c r="J1036" s="512"/>
      <c r="K1036" s="48"/>
      <c r="L1036" s="29"/>
      <c r="M1036" s="82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</row>
    <row r="1037" spans="1:36" s="18" customFormat="1" ht="43.5" customHeight="1">
      <c r="A1037" s="332" t="s">
        <v>543</v>
      </c>
      <c r="B1037" s="265">
        <v>206</v>
      </c>
      <c r="C1037" s="281">
        <v>200</v>
      </c>
      <c r="D1037" s="227">
        <v>200</v>
      </c>
      <c r="E1037" s="201">
        <v>4.2</v>
      </c>
      <c r="F1037" s="201">
        <v>4.8</v>
      </c>
      <c r="G1037" s="201">
        <v>18</v>
      </c>
      <c r="H1037" s="202">
        <f>E1037*4+F1037*9+G1037*4</f>
        <v>132</v>
      </c>
      <c r="I1037" s="263">
        <v>1.37</v>
      </c>
      <c r="J1037" s="263" t="s">
        <v>364</v>
      </c>
      <c r="K1037" s="10"/>
      <c r="L1037" s="29"/>
      <c r="M1037" s="82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</row>
    <row r="1038" spans="1:36" s="18" customFormat="1" ht="24.75" customHeight="1">
      <c r="A1038" s="482" t="s">
        <v>140</v>
      </c>
      <c r="B1038" s="482"/>
      <c r="C1038" s="482"/>
      <c r="D1038" s="482"/>
      <c r="E1038" s="348">
        <f>E1036+E1018+E1014+E977+E975+E960</f>
        <v>74.67333333333333</v>
      </c>
      <c r="F1038" s="348">
        <f>F1036+F1018+F1014+F977+F975+F960</f>
        <v>83.78</v>
      </c>
      <c r="G1038" s="348">
        <f>G1036+G1018+G1014+G977+G975+G960</f>
        <v>362.7216666666667</v>
      </c>
      <c r="H1038" s="384">
        <f>H1036+H1018+H1014+H977+H975+H960</f>
        <v>2546.6</v>
      </c>
      <c r="I1038" s="385">
        <f>I1036+I1018+I1014+I977+I975+I960</f>
        <v>106.46</v>
      </c>
      <c r="J1038" s="348"/>
      <c r="K1038" s="14"/>
      <c r="L1038" s="29"/>
      <c r="M1038" s="82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</row>
    <row r="1039" spans="1:36" s="18" customFormat="1" ht="24.75" customHeight="1">
      <c r="A1039" s="489" t="s">
        <v>0</v>
      </c>
      <c r="B1039" s="490"/>
      <c r="C1039" s="490"/>
      <c r="D1039" s="490"/>
      <c r="E1039" s="490"/>
      <c r="F1039" s="490"/>
      <c r="G1039" s="490"/>
      <c r="H1039" s="490"/>
      <c r="I1039" s="490"/>
      <c r="J1039" s="491"/>
      <c r="K1039" s="14"/>
      <c r="L1039" s="29"/>
      <c r="M1039" s="82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</row>
    <row r="1040" spans="1:36" s="18" customFormat="1" ht="24.75" customHeight="1">
      <c r="A1040" s="489" t="s">
        <v>66</v>
      </c>
      <c r="B1040" s="490"/>
      <c r="C1040" s="490"/>
      <c r="D1040" s="490"/>
      <c r="E1040" s="490"/>
      <c r="F1040" s="490"/>
      <c r="G1040" s="490"/>
      <c r="H1040" s="490"/>
      <c r="I1040" s="490"/>
      <c r="J1040" s="491"/>
      <c r="K1040" s="14"/>
      <c r="L1040" s="29"/>
      <c r="M1040" s="82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</row>
    <row r="1041" spans="1:36" s="18" customFormat="1" ht="24.75" customHeight="1">
      <c r="A1041" s="498" t="s">
        <v>2</v>
      </c>
      <c r="B1041" s="497" t="s">
        <v>3</v>
      </c>
      <c r="C1041" s="497" t="s">
        <v>4</v>
      </c>
      <c r="D1041" s="498" t="s">
        <v>5</v>
      </c>
      <c r="E1041" s="498"/>
      <c r="F1041" s="498"/>
      <c r="G1041" s="498"/>
      <c r="H1041" s="498"/>
      <c r="I1041" s="498"/>
      <c r="J1041" s="526" t="s">
        <v>302</v>
      </c>
      <c r="K1041" s="14"/>
      <c r="L1041" s="29"/>
      <c r="M1041" s="82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</row>
    <row r="1042" spans="1:36" s="18" customFormat="1" ht="24.75" customHeight="1">
      <c r="A1042" s="498"/>
      <c r="B1042" s="497"/>
      <c r="C1042" s="497"/>
      <c r="D1042" s="497" t="s">
        <v>6</v>
      </c>
      <c r="E1042" s="485" t="s">
        <v>7</v>
      </c>
      <c r="F1042" s="485" t="s">
        <v>8</v>
      </c>
      <c r="G1042" s="485" t="s">
        <v>9</v>
      </c>
      <c r="H1042" s="494" t="s">
        <v>10</v>
      </c>
      <c r="I1042" s="527" t="s">
        <v>303</v>
      </c>
      <c r="J1042" s="526"/>
      <c r="K1042" s="14"/>
      <c r="L1042" s="29"/>
      <c r="M1042" s="82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</row>
    <row r="1043" spans="1:36" s="18" customFormat="1" ht="24.75" customHeight="1">
      <c r="A1043" s="498"/>
      <c r="B1043" s="497"/>
      <c r="C1043" s="497"/>
      <c r="D1043" s="497"/>
      <c r="E1043" s="485"/>
      <c r="F1043" s="485"/>
      <c r="G1043" s="485"/>
      <c r="H1043" s="494"/>
      <c r="I1043" s="527"/>
      <c r="J1043" s="526"/>
      <c r="K1043" s="14"/>
      <c r="L1043" s="29"/>
      <c r="M1043" s="82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</row>
    <row r="1044" spans="1:36" s="18" customFormat="1" ht="24.75" customHeight="1">
      <c r="A1044" s="510" t="s">
        <v>11</v>
      </c>
      <c r="B1044" s="510"/>
      <c r="C1044" s="510"/>
      <c r="D1044" s="510"/>
      <c r="E1044" s="192">
        <f>E1045+E1055+E1060++E1064+E1059</f>
        <v>17</v>
      </c>
      <c r="F1044" s="192">
        <f>F1045+F1055+F1060++F1064+F1059</f>
        <v>29.4</v>
      </c>
      <c r="G1044" s="192">
        <f>G1045+G1055+G1060++G1064+G1059</f>
        <v>76.5</v>
      </c>
      <c r="H1044" s="75">
        <f>H1045+H1055+H1060++H1064+H1059</f>
        <v>638.6</v>
      </c>
      <c r="I1044" s="192">
        <f>I1045+I1055+I1060++I1064+I1059</f>
        <v>14.19</v>
      </c>
      <c r="J1044" s="36"/>
      <c r="K1044" s="14"/>
      <c r="L1044" s="29"/>
      <c r="M1044" s="82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</row>
    <row r="1045" spans="1:36" s="132" customFormat="1" ht="24.75" customHeight="1">
      <c r="A1045" s="501" t="s">
        <v>256</v>
      </c>
      <c r="B1045" s="501"/>
      <c r="C1045" s="501"/>
      <c r="D1045" s="113" t="s">
        <v>248</v>
      </c>
      <c r="E1045" s="36">
        <v>9.5</v>
      </c>
      <c r="F1045" s="36">
        <v>15.6</v>
      </c>
      <c r="G1045" s="36">
        <v>27.4</v>
      </c>
      <c r="H1045" s="75">
        <f>E1045*4+F1045*9+G1045*4</f>
        <v>288</v>
      </c>
      <c r="I1045" s="192">
        <v>0.89</v>
      </c>
      <c r="J1045" s="192" t="s">
        <v>508</v>
      </c>
      <c r="K1045" s="14"/>
      <c r="O1045" s="127"/>
      <c r="P1045" s="127"/>
      <c r="Q1045" s="127"/>
      <c r="R1045" s="127"/>
      <c r="S1045" s="127"/>
      <c r="T1045" s="127"/>
      <c r="U1045" s="127"/>
      <c r="V1045" s="127"/>
      <c r="W1045" s="127"/>
      <c r="X1045" s="127"/>
      <c r="Y1045" s="127"/>
      <c r="Z1045" s="127"/>
      <c r="AA1045" s="127"/>
      <c r="AB1045" s="127"/>
      <c r="AC1045" s="127"/>
      <c r="AD1045" s="127"/>
      <c r="AE1045" s="127"/>
      <c r="AF1045" s="127"/>
      <c r="AG1045" s="127"/>
      <c r="AH1045" s="127"/>
      <c r="AI1045" s="127"/>
      <c r="AJ1045" s="127"/>
    </row>
    <row r="1046" spans="1:36" s="132" customFormat="1" ht="24.75" customHeight="1">
      <c r="A1046" s="285" t="s">
        <v>34</v>
      </c>
      <c r="B1046" s="290">
        <v>77</v>
      </c>
      <c r="C1046" s="290">
        <v>75</v>
      </c>
      <c r="D1046" s="290"/>
      <c r="E1046" s="287"/>
      <c r="F1046" s="287"/>
      <c r="G1046" s="287"/>
      <c r="H1046" s="286"/>
      <c r="I1046" s="288"/>
      <c r="J1046" s="288"/>
      <c r="K1046" s="14"/>
      <c r="O1046" s="127"/>
      <c r="P1046" s="127"/>
      <c r="Q1046" s="127"/>
      <c r="R1046" s="127"/>
      <c r="S1046" s="127"/>
      <c r="T1046" s="127"/>
      <c r="U1046" s="127"/>
      <c r="V1046" s="127"/>
      <c r="W1046" s="127"/>
      <c r="X1046" s="127"/>
      <c r="Y1046" s="127"/>
      <c r="Z1046" s="127"/>
      <c r="AA1046" s="127"/>
      <c r="AB1046" s="127"/>
      <c r="AC1046" s="127"/>
      <c r="AD1046" s="127"/>
      <c r="AE1046" s="127"/>
      <c r="AF1046" s="127"/>
      <c r="AG1046" s="127"/>
      <c r="AH1046" s="127"/>
      <c r="AI1046" s="127"/>
      <c r="AJ1046" s="127"/>
    </row>
    <row r="1047" spans="1:36" s="132" customFormat="1" ht="24.75" customHeight="1">
      <c r="A1047" s="285" t="s">
        <v>169</v>
      </c>
      <c r="B1047" s="290">
        <v>6</v>
      </c>
      <c r="C1047" s="290">
        <v>6</v>
      </c>
      <c r="D1047" s="290"/>
      <c r="E1047" s="287"/>
      <c r="F1047" s="287"/>
      <c r="G1047" s="287"/>
      <c r="H1047" s="286"/>
      <c r="I1047" s="288"/>
      <c r="J1047" s="288"/>
      <c r="K1047" s="14"/>
      <c r="O1047" s="127"/>
      <c r="P1047" s="127"/>
      <c r="Q1047" s="127"/>
      <c r="R1047" s="127"/>
      <c r="S1047" s="127"/>
      <c r="T1047" s="127"/>
      <c r="U1047" s="127"/>
      <c r="V1047" s="127"/>
      <c r="W1047" s="127"/>
      <c r="X1047" s="127"/>
      <c r="Y1047" s="127"/>
      <c r="Z1047" s="127"/>
      <c r="AA1047" s="127"/>
      <c r="AB1047" s="127"/>
      <c r="AC1047" s="127"/>
      <c r="AD1047" s="127"/>
      <c r="AE1047" s="127"/>
      <c r="AF1047" s="127"/>
      <c r="AG1047" s="127"/>
      <c r="AH1047" s="127"/>
      <c r="AI1047" s="127"/>
      <c r="AJ1047" s="127"/>
    </row>
    <row r="1048" spans="1:36" s="132" customFormat="1" ht="24.75" customHeight="1">
      <c r="A1048" s="285" t="s">
        <v>170</v>
      </c>
      <c r="B1048" s="290">
        <v>7</v>
      </c>
      <c r="C1048" s="290">
        <v>7</v>
      </c>
      <c r="D1048" s="290"/>
      <c r="E1048" s="287"/>
      <c r="F1048" s="287"/>
      <c r="G1048" s="287"/>
      <c r="H1048" s="286"/>
      <c r="I1048" s="288"/>
      <c r="J1048" s="288"/>
      <c r="K1048" s="14"/>
      <c r="O1048" s="127"/>
      <c r="P1048" s="127"/>
      <c r="Q1048" s="127"/>
      <c r="R1048" s="127"/>
      <c r="S1048" s="127"/>
      <c r="T1048" s="127"/>
      <c r="U1048" s="127"/>
      <c r="V1048" s="127"/>
      <c r="W1048" s="127"/>
      <c r="X1048" s="127"/>
      <c r="Y1048" s="127"/>
      <c r="Z1048" s="127"/>
      <c r="AA1048" s="127"/>
      <c r="AB1048" s="127"/>
      <c r="AC1048" s="127"/>
      <c r="AD1048" s="127"/>
      <c r="AE1048" s="127"/>
      <c r="AF1048" s="127"/>
      <c r="AG1048" s="127"/>
      <c r="AH1048" s="127"/>
      <c r="AI1048" s="127"/>
      <c r="AJ1048" s="127"/>
    </row>
    <row r="1049" spans="1:36" s="132" customFormat="1" ht="24.75" customHeight="1">
      <c r="A1049" s="285" t="s">
        <v>12</v>
      </c>
      <c r="B1049" s="290">
        <v>7</v>
      </c>
      <c r="C1049" s="290">
        <v>7</v>
      </c>
      <c r="D1049" s="290"/>
      <c r="E1049" s="287"/>
      <c r="F1049" s="287"/>
      <c r="G1049" s="287"/>
      <c r="H1049" s="290"/>
      <c r="I1049" s="288"/>
      <c r="J1049" s="288"/>
      <c r="K1049" s="14"/>
      <c r="O1049" s="127"/>
      <c r="P1049" s="127"/>
      <c r="Q1049" s="127"/>
      <c r="R1049" s="127"/>
      <c r="S1049" s="127"/>
      <c r="T1049" s="127"/>
      <c r="U1049" s="127"/>
      <c r="V1049" s="127"/>
      <c r="W1049" s="127"/>
      <c r="X1049" s="127"/>
      <c r="Y1049" s="127"/>
      <c r="Z1049" s="127"/>
      <c r="AA1049" s="127"/>
      <c r="AB1049" s="127"/>
      <c r="AC1049" s="127"/>
      <c r="AD1049" s="127"/>
      <c r="AE1049" s="127"/>
      <c r="AF1049" s="127"/>
      <c r="AG1049" s="127"/>
      <c r="AH1049" s="127"/>
      <c r="AI1049" s="127"/>
      <c r="AJ1049" s="127"/>
    </row>
    <row r="1050" spans="1:36" s="132" customFormat="1" ht="24.75" customHeight="1">
      <c r="A1050" s="269" t="s">
        <v>29</v>
      </c>
      <c r="B1050" s="283">
        <v>2.3</v>
      </c>
      <c r="C1050" s="283">
        <v>2.3</v>
      </c>
      <c r="D1050" s="305"/>
      <c r="E1050" s="283"/>
      <c r="F1050" s="283"/>
      <c r="G1050" s="283"/>
      <c r="H1050" s="281"/>
      <c r="I1050" s="284"/>
      <c r="J1050" s="284"/>
      <c r="K1050" s="14"/>
      <c r="O1050" s="127"/>
      <c r="P1050" s="127"/>
      <c r="Q1050" s="127"/>
      <c r="R1050" s="127"/>
      <c r="S1050" s="127"/>
      <c r="T1050" s="127"/>
      <c r="U1050" s="127"/>
      <c r="V1050" s="127"/>
      <c r="W1050" s="127"/>
      <c r="X1050" s="127"/>
      <c r="Y1050" s="127"/>
      <c r="Z1050" s="127"/>
      <c r="AA1050" s="127"/>
      <c r="AB1050" s="127"/>
      <c r="AC1050" s="127"/>
      <c r="AD1050" s="127"/>
      <c r="AE1050" s="127"/>
      <c r="AF1050" s="127"/>
      <c r="AG1050" s="127"/>
      <c r="AH1050" s="127"/>
      <c r="AI1050" s="127"/>
      <c r="AJ1050" s="127"/>
    </row>
    <row r="1051" spans="1:36" s="132" customFormat="1" ht="24.75" customHeight="1">
      <c r="A1051" s="269" t="s">
        <v>173</v>
      </c>
      <c r="B1051" s="287">
        <v>2.3</v>
      </c>
      <c r="C1051" s="287">
        <v>2.3</v>
      </c>
      <c r="D1051" s="290"/>
      <c r="E1051" s="287"/>
      <c r="F1051" s="287"/>
      <c r="G1051" s="287"/>
      <c r="H1051" s="286"/>
      <c r="I1051" s="288"/>
      <c r="J1051" s="288"/>
      <c r="K1051" s="14"/>
      <c r="O1051" s="127"/>
      <c r="P1051" s="127"/>
      <c r="Q1051" s="127"/>
      <c r="R1051" s="127"/>
      <c r="S1051" s="127"/>
      <c r="T1051" s="127"/>
      <c r="U1051" s="127"/>
      <c r="V1051" s="127"/>
      <c r="W1051" s="127"/>
      <c r="X1051" s="127"/>
      <c r="Y1051" s="127"/>
      <c r="Z1051" s="127"/>
      <c r="AA1051" s="127"/>
      <c r="AB1051" s="127"/>
      <c r="AC1051" s="127"/>
      <c r="AD1051" s="127"/>
      <c r="AE1051" s="127"/>
      <c r="AF1051" s="127"/>
      <c r="AG1051" s="127"/>
      <c r="AH1051" s="127"/>
      <c r="AI1051" s="127"/>
      <c r="AJ1051" s="127"/>
    </row>
    <row r="1052" spans="1:36" s="18" customFormat="1" ht="24.75" customHeight="1">
      <c r="A1052" s="285" t="s">
        <v>174</v>
      </c>
      <c r="B1052" s="287">
        <v>3.4285714285714284</v>
      </c>
      <c r="C1052" s="287">
        <v>3.4285714285714284</v>
      </c>
      <c r="D1052" s="290"/>
      <c r="E1052" s="287"/>
      <c r="F1052" s="287"/>
      <c r="G1052" s="287"/>
      <c r="H1052" s="286"/>
      <c r="I1052" s="288"/>
      <c r="J1052" s="288"/>
      <c r="K1052" s="14"/>
      <c r="L1052" s="29"/>
      <c r="M1052" s="82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</row>
    <row r="1053" spans="1:36" s="18" customFormat="1" ht="24.75" customHeight="1">
      <c r="A1053" s="269" t="s">
        <v>93</v>
      </c>
      <c r="B1053" s="287">
        <v>2.7</v>
      </c>
      <c r="C1053" s="287">
        <v>2.666666666666667</v>
      </c>
      <c r="D1053" s="290"/>
      <c r="E1053" s="287"/>
      <c r="F1053" s="287"/>
      <c r="G1053" s="287"/>
      <c r="H1053" s="286"/>
      <c r="I1053" s="288"/>
      <c r="J1053" s="288"/>
      <c r="K1053" s="14"/>
      <c r="L1053" s="29"/>
      <c r="M1053" s="82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</row>
    <row r="1054" spans="1:36" s="18" customFormat="1" ht="48.75" customHeight="1">
      <c r="A1054" s="276" t="s">
        <v>263</v>
      </c>
      <c r="B1054" s="270">
        <v>30.2</v>
      </c>
      <c r="C1054" s="270">
        <v>30</v>
      </c>
      <c r="D1054" s="270"/>
      <c r="E1054" s="271"/>
      <c r="F1054" s="271"/>
      <c r="G1054" s="271"/>
      <c r="H1054" s="272"/>
      <c r="I1054" s="273"/>
      <c r="J1054" s="273"/>
      <c r="K1054" s="14"/>
      <c r="L1054" s="29"/>
      <c r="M1054" s="82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</row>
    <row r="1055" spans="1:36" s="18" customFormat="1" ht="24.75" customHeight="1">
      <c r="A1055" s="502" t="s">
        <v>387</v>
      </c>
      <c r="B1055" s="502"/>
      <c r="C1055" s="502"/>
      <c r="D1055" s="278">
        <v>200</v>
      </c>
      <c r="E1055" s="279">
        <v>2.2</v>
      </c>
      <c r="F1055" s="279">
        <v>2.4</v>
      </c>
      <c r="G1055" s="279">
        <v>15.6</v>
      </c>
      <c r="H1055" s="202">
        <f>E1055*4+F1055*9+G1055*4</f>
        <v>92.8</v>
      </c>
      <c r="I1055" s="263">
        <v>1.3</v>
      </c>
      <c r="J1055" s="263" t="s">
        <v>389</v>
      </c>
      <c r="K1055" s="14"/>
      <c r="L1055" s="29"/>
      <c r="M1055" s="82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</row>
    <row r="1056" spans="1:36" s="18" customFormat="1" ht="24.75" customHeight="1">
      <c r="A1056" s="280" t="s">
        <v>388</v>
      </c>
      <c r="B1056" s="281">
        <v>1</v>
      </c>
      <c r="C1056" s="281">
        <v>1</v>
      </c>
      <c r="D1056" s="282"/>
      <c r="E1056" s="279"/>
      <c r="F1056" s="279"/>
      <c r="G1056" s="279"/>
      <c r="H1056" s="202"/>
      <c r="I1056" s="263"/>
      <c r="J1056" s="263"/>
      <c r="K1056" s="14"/>
      <c r="L1056" s="29"/>
      <c r="M1056" s="82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</row>
    <row r="1057" spans="1:11" ht="24.75" customHeight="1">
      <c r="A1057" s="280" t="s">
        <v>12</v>
      </c>
      <c r="B1057" s="281">
        <v>15</v>
      </c>
      <c r="C1057" s="281">
        <v>15</v>
      </c>
      <c r="D1057" s="281"/>
      <c r="E1057" s="283"/>
      <c r="F1057" s="283"/>
      <c r="G1057" s="283"/>
      <c r="H1057" s="281"/>
      <c r="I1057" s="284"/>
      <c r="J1057" s="281"/>
      <c r="K1057" s="14"/>
    </row>
    <row r="1058" spans="1:11" ht="24.75" customHeight="1">
      <c r="A1058" s="285" t="s">
        <v>148</v>
      </c>
      <c r="B1058" s="286">
        <v>100</v>
      </c>
      <c r="C1058" s="286">
        <v>100</v>
      </c>
      <c r="D1058" s="286"/>
      <c r="E1058" s="287"/>
      <c r="F1058" s="287"/>
      <c r="G1058" s="287"/>
      <c r="H1058" s="286"/>
      <c r="I1058" s="288"/>
      <c r="J1058" s="286"/>
      <c r="K1058" s="14"/>
    </row>
    <row r="1059" spans="1:14" s="18" customFormat="1" ht="24.75" customHeight="1">
      <c r="A1059" s="483" t="s">
        <v>564</v>
      </c>
      <c r="B1059" s="483"/>
      <c r="C1059" s="483"/>
      <c r="D1059" s="227">
        <v>90</v>
      </c>
      <c r="E1059" s="201">
        <v>3.3</v>
      </c>
      <c r="F1059" s="201">
        <v>2.7</v>
      </c>
      <c r="G1059" s="201">
        <v>5.6</v>
      </c>
      <c r="H1059" s="202">
        <f>G1059*4+F1059*9+E1059*4</f>
        <v>59.900000000000006</v>
      </c>
      <c r="I1059" s="192">
        <v>0</v>
      </c>
      <c r="J1059" s="346"/>
      <c r="K1059" s="14"/>
      <c r="L1059" s="29"/>
      <c r="M1059" s="82"/>
      <c r="N1059" s="24"/>
    </row>
    <row r="1060" spans="1:11" ht="24.75" customHeight="1">
      <c r="A1060" s="344" t="s">
        <v>345</v>
      </c>
      <c r="B1060" s="113"/>
      <c r="C1060" s="113"/>
      <c r="D1060" s="275" t="s">
        <v>488</v>
      </c>
      <c r="E1060" s="201">
        <v>1.6</v>
      </c>
      <c r="F1060" s="201">
        <v>8.7</v>
      </c>
      <c r="G1060" s="201">
        <v>9.9</v>
      </c>
      <c r="H1060" s="202">
        <f>E1060*4+F1060*9+G1060*4</f>
        <v>124.30000000000001</v>
      </c>
      <c r="I1060" s="263">
        <v>0</v>
      </c>
      <c r="J1060" s="227" t="s">
        <v>347</v>
      </c>
      <c r="K1060" s="11"/>
    </row>
    <row r="1061" spans="1:11" ht="24.75" customHeight="1">
      <c r="A1061" s="276" t="s">
        <v>348</v>
      </c>
      <c r="B1061" s="270">
        <v>20</v>
      </c>
      <c r="C1061" s="270">
        <v>20</v>
      </c>
      <c r="D1061" s="270"/>
      <c r="E1061" s="271"/>
      <c r="F1061" s="271"/>
      <c r="G1061" s="271"/>
      <c r="H1061" s="271"/>
      <c r="I1061" s="309"/>
      <c r="J1061" s="345"/>
      <c r="K1061" s="11"/>
    </row>
    <row r="1062" spans="1:14" s="18" customFormat="1" ht="24.75" customHeight="1">
      <c r="A1062" s="276" t="s">
        <v>346</v>
      </c>
      <c r="B1062" s="270">
        <v>10</v>
      </c>
      <c r="C1062" s="270">
        <v>10</v>
      </c>
      <c r="D1062" s="270"/>
      <c r="E1062" s="271"/>
      <c r="F1062" s="271"/>
      <c r="G1062" s="271"/>
      <c r="H1062" s="271"/>
      <c r="I1062" s="273"/>
      <c r="J1062" s="271"/>
      <c r="K1062" s="11"/>
      <c r="L1062" s="29"/>
      <c r="M1062" s="82"/>
      <c r="N1062" s="24"/>
    </row>
    <row r="1063" spans="1:11" ht="24.75" customHeight="1">
      <c r="A1063" s="499" t="s">
        <v>150</v>
      </c>
      <c r="B1063" s="500"/>
      <c r="C1063" s="500"/>
      <c r="D1063" s="500"/>
      <c r="E1063" s="500"/>
      <c r="F1063" s="500"/>
      <c r="G1063" s="500"/>
      <c r="H1063" s="500"/>
      <c r="I1063" s="500"/>
      <c r="J1063" s="512"/>
      <c r="K1063" s="11"/>
    </row>
    <row r="1064" spans="1:11" ht="24.75" customHeight="1">
      <c r="A1064" s="492" t="s">
        <v>337</v>
      </c>
      <c r="B1064" s="492"/>
      <c r="C1064" s="492"/>
      <c r="D1064" s="282">
        <v>180</v>
      </c>
      <c r="E1064" s="201">
        <v>0.4</v>
      </c>
      <c r="F1064" s="279">
        <v>0</v>
      </c>
      <c r="G1064" s="201">
        <v>18</v>
      </c>
      <c r="H1064" s="202">
        <f>E1064*4+F1064*9+G1064*4</f>
        <v>73.6</v>
      </c>
      <c r="I1064" s="263">
        <v>12</v>
      </c>
      <c r="J1064" s="263"/>
      <c r="K1064" s="14"/>
    </row>
    <row r="1065" spans="1:14" s="18" customFormat="1" ht="24.75" customHeight="1">
      <c r="A1065" s="510" t="s">
        <v>18</v>
      </c>
      <c r="B1065" s="510"/>
      <c r="C1065" s="510"/>
      <c r="D1065" s="510"/>
      <c r="E1065" s="36">
        <f>E1066+E1073+E1088+E1096+E1099+E1102+E1103</f>
        <v>34.6</v>
      </c>
      <c r="F1065" s="36">
        <f>F1066+F1073+F1088+F1096+F1099+F1102+F1103</f>
        <v>27.640000000000004</v>
      </c>
      <c r="G1065" s="36">
        <f>G1066+G1073+G1088+G1096+G1099+G1102+G1103</f>
        <v>139.28</v>
      </c>
      <c r="H1065" s="75">
        <f>H1066+H1073+H1088+H1096+H1099+H1102+H1103</f>
        <v>973.1700000000001</v>
      </c>
      <c r="I1065" s="192">
        <f>I1066+I1073+I1088+I1096+I1099+I1102+I1103</f>
        <v>26.86</v>
      </c>
      <c r="J1065" s="36"/>
      <c r="K1065" s="14"/>
      <c r="L1065" s="29"/>
      <c r="M1065" s="82"/>
      <c r="N1065" s="24"/>
    </row>
    <row r="1066" spans="1:11" ht="24.75" customHeight="1">
      <c r="A1066" s="501" t="s">
        <v>439</v>
      </c>
      <c r="B1066" s="501"/>
      <c r="C1066" s="501"/>
      <c r="D1066" s="314">
        <v>80</v>
      </c>
      <c r="E1066" s="348">
        <v>0.9</v>
      </c>
      <c r="F1066" s="348">
        <v>5</v>
      </c>
      <c r="G1066" s="201">
        <v>3.5</v>
      </c>
      <c r="H1066" s="202">
        <f>E1066*4+F1066*9+G1066*4</f>
        <v>62.6</v>
      </c>
      <c r="I1066" s="263">
        <v>19.6</v>
      </c>
      <c r="J1066" s="263" t="s">
        <v>334</v>
      </c>
      <c r="K1066" s="14"/>
    </row>
    <row r="1067" spans="1:36" s="18" customFormat="1" ht="24.75" customHeight="1">
      <c r="A1067" s="298" t="s">
        <v>440</v>
      </c>
      <c r="B1067" s="290">
        <f>C1067*1.25</f>
        <v>43.75</v>
      </c>
      <c r="C1067" s="286">
        <v>35</v>
      </c>
      <c r="D1067" s="294"/>
      <c r="E1067" s="287"/>
      <c r="F1067" s="295"/>
      <c r="G1067" s="295"/>
      <c r="H1067" s="296"/>
      <c r="I1067" s="297"/>
      <c r="J1067" s="297"/>
      <c r="K1067" s="14"/>
      <c r="L1067" s="29"/>
      <c r="M1067" s="82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</row>
    <row r="1068" spans="1:36" s="18" customFormat="1" ht="24.75" customHeight="1">
      <c r="A1068" s="285" t="s">
        <v>19</v>
      </c>
      <c r="B1068" s="290">
        <f>C1068*1.33</f>
        <v>46.550000000000004</v>
      </c>
      <c r="C1068" s="286">
        <v>35</v>
      </c>
      <c r="D1068" s="294"/>
      <c r="E1068" s="287"/>
      <c r="F1068" s="295"/>
      <c r="G1068" s="295"/>
      <c r="H1068" s="296"/>
      <c r="I1068" s="297"/>
      <c r="J1068" s="297"/>
      <c r="K1068" s="14"/>
      <c r="L1068" s="29"/>
      <c r="M1068" s="82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</row>
    <row r="1069" spans="1:11" ht="24.75" customHeight="1">
      <c r="A1069" s="285" t="s">
        <v>120</v>
      </c>
      <c r="B1069" s="290">
        <f>C1069*1.02</f>
        <v>30.6</v>
      </c>
      <c r="C1069" s="286">
        <v>30</v>
      </c>
      <c r="D1069" s="294"/>
      <c r="E1069" s="295"/>
      <c r="F1069" s="295"/>
      <c r="G1069" s="295"/>
      <c r="H1069" s="296"/>
      <c r="I1069" s="297"/>
      <c r="J1069" s="297"/>
      <c r="K1069" s="14"/>
    </row>
    <row r="1070" spans="1:36" s="18" customFormat="1" ht="24.75" customHeight="1">
      <c r="A1070" s="285" t="s">
        <v>215</v>
      </c>
      <c r="B1070" s="290">
        <f>C1070*1.18</f>
        <v>35.4</v>
      </c>
      <c r="C1070" s="286">
        <v>30</v>
      </c>
      <c r="D1070" s="294"/>
      <c r="E1070" s="295"/>
      <c r="F1070" s="295"/>
      <c r="G1070" s="295"/>
      <c r="H1070" s="290"/>
      <c r="I1070" s="288"/>
      <c r="J1070" s="288"/>
      <c r="K1070" s="14"/>
      <c r="L1070" s="29"/>
      <c r="M1070" s="82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</row>
    <row r="1071" spans="1:11" ht="24.75" customHeight="1">
      <c r="A1071" s="285" t="s">
        <v>336</v>
      </c>
      <c r="B1071" s="290">
        <f>C1071*1.33</f>
        <v>15.96</v>
      </c>
      <c r="C1071" s="286">
        <v>12</v>
      </c>
      <c r="D1071" s="294"/>
      <c r="E1071" s="295"/>
      <c r="F1071" s="295"/>
      <c r="G1071" s="295"/>
      <c r="H1071" s="290"/>
      <c r="I1071" s="288"/>
      <c r="J1071" s="288"/>
      <c r="K1071" s="14"/>
    </row>
    <row r="1072" spans="1:11" ht="24.75" customHeight="1">
      <c r="A1072" s="285" t="s">
        <v>20</v>
      </c>
      <c r="B1072" s="290">
        <v>5</v>
      </c>
      <c r="C1072" s="286">
        <v>5</v>
      </c>
      <c r="D1072" s="294"/>
      <c r="E1072" s="295"/>
      <c r="F1072" s="295"/>
      <c r="G1072" s="295"/>
      <c r="H1072" s="290"/>
      <c r="I1072" s="288"/>
      <c r="J1072" s="288"/>
      <c r="K1072" s="14"/>
    </row>
    <row r="1073" spans="1:36" s="18" customFormat="1" ht="24.75" customHeight="1">
      <c r="A1073" s="502" t="s">
        <v>559</v>
      </c>
      <c r="B1073" s="502"/>
      <c r="C1073" s="502"/>
      <c r="D1073" s="278" t="s">
        <v>551</v>
      </c>
      <c r="E1073" s="292">
        <v>9.26</v>
      </c>
      <c r="F1073" s="292">
        <v>6.66</v>
      </c>
      <c r="G1073" s="292">
        <v>15.98</v>
      </c>
      <c r="H1073" s="75">
        <v>160.49</v>
      </c>
      <c r="I1073" s="192">
        <v>5.9</v>
      </c>
      <c r="J1073" s="192" t="s">
        <v>467</v>
      </c>
      <c r="K1073" s="14"/>
      <c r="L1073" s="29"/>
      <c r="M1073" s="82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</row>
    <row r="1074" spans="1:36" s="18" customFormat="1" ht="24.75" customHeight="1">
      <c r="A1074" s="286" t="s">
        <v>545</v>
      </c>
      <c r="B1074" s="286">
        <v>41</v>
      </c>
      <c r="C1074" s="286">
        <v>36</v>
      </c>
      <c r="D1074" s="278"/>
      <c r="E1074" s="292"/>
      <c r="F1074" s="292"/>
      <c r="G1074" s="292"/>
      <c r="H1074" s="75"/>
      <c r="I1074" s="192"/>
      <c r="J1074" s="192"/>
      <c r="K1074" s="14"/>
      <c r="L1074" s="29"/>
      <c r="M1074" s="82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</row>
    <row r="1075" spans="1:36" s="18" customFormat="1" ht="24.75" customHeight="1">
      <c r="A1075" s="285" t="s">
        <v>45</v>
      </c>
      <c r="B1075" s="290">
        <f>C1075*1.25</f>
        <v>35</v>
      </c>
      <c r="C1075" s="286">
        <v>28</v>
      </c>
      <c r="D1075" s="294"/>
      <c r="E1075" s="287"/>
      <c r="F1075" s="295"/>
      <c r="G1075" s="295"/>
      <c r="H1075" s="296"/>
      <c r="I1075" s="297"/>
      <c r="J1075" s="297"/>
      <c r="K1075" s="14"/>
      <c r="L1075" s="29"/>
      <c r="M1075" s="82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</row>
    <row r="1076" spans="1:11" ht="24.75" customHeight="1">
      <c r="A1076" s="298" t="s">
        <v>144</v>
      </c>
      <c r="B1076" s="290">
        <v>39</v>
      </c>
      <c r="C1076" s="286">
        <v>38</v>
      </c>
      <c r="D1076" s="278"/>
      <c r="E1076" s="292"/>
      <c r="F1076" s="292"/>
      <c r="G1076" s="292"/>
      <c r="H1076" s="75"/>
      <c r="I1076" s="192"/>
      <c r="J1076" s="192"/>
      <c r="K1076" s="14"/>
    </row>
    <row r="1077" spans="1:36" s="18" customFormat="1" ht="24.75" customHeight="1">
      <c r="A1077" s="285" t="s">
        <v>21</v>
      </c>
      <c r="B1077" s="290">
        <f>C1077*1.33</f>
        <v>119.7</v>
      </c>
      <c r="C1077" s="321">
        <v>90</v>
      </c>
      <c r="D1077" s="281"/>
      <c r="E1077" s="283"/>
      <c r="F1077" s="283"/>
      <c r="G1077" s="283"/>
      <c r="H1077" s="281"/>
      <c r="I1077" s="284"/>
      <c r="J1077" s="284"/>
      <c r="K1077" s="14"/>
      <c r="N1077" s="8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</row>
    <row r="1078" spans="1:14" ht="24.75" customHeight="1">
      <c r="A1078" s="285" t="s">
        <v>22</v>
      </c>
      <c r="B1078" s="290">
        <f>C1078*1.43</f>
        <v>128.7</v>
      </c>
      <c r="C1078" s="321">
        <v>90</v>
      </c>
      <c r="D1078" s="294"/>
      <c r="E1078" s="287"/>
      <c r="F1078" s="287"/>
      <c r="G1078" s="287"/>
      <c r="H1078" s="287"/>
      <c r="I1078" s="288"/>
      <c r="J1078" s="288"/>
      <c r="K1078" s="14"/>
      <c r="N1078" s="84"/>
    </row>
    <row r="1079" spans="1:36" s="18" customFormat="1" ht="24.75" customHeight="1">
      <c r="A1079" s="285" t="s">
        <v>23</v>
      </c>
      <c r="B1079" s="290">
        <f>C1079*1.54</f>
        <v>138.6</v>
      </c>
      <c r="C1079" s="321">
        <v>90</v>
      </c>
      <c r="D1079" s="294"/>
      <c r="E1079" s="287"/>
      <c r="F1079" s="295"/>
      <c r="G1079" s="295"/>
      <c r="H1079" s="296"/>
      <c r="I1079" s="297"/>
      <c r="J1079" s="297"/>
      <c r="K1079" s="14"/>
      <c r="L1079" s="29"/>
      <c r="M1079" s="82"/>
      <c r="N1079" s="8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</row>
    <row r="1080" spans="1:14" ht="24.75" customHeight="1">
      <c r="A1080" s="285" t="s">
        <v>24</v>
      </c>
      <c r="B1080" s="290">
        <f>C1080*1.67</f>
        <v>150.29999999999998</v>
      </c>
      <c r="C1080" s="321">
        <v>90</v>
      </c>
      <c r="D1080" s="294"/>
      <c r="E1080" s="287"/>
      <c r="F1080" s="295"/>
      <c r="G1080" s="295"/>
      <c r="H1080" s="296"/>
      <c r="I1080" s="297"/>
      <c r="J1080" s="297"/>
      <c r="K1080" s="14"/>
      <c r="N1080" s="84"/>
    </row>
    <row r="1081" spans="1:14" ht="24.75" customHeight="1">
      <c r="A1081" s="285" t="s">
        <v>25</v>
      </c>
      <c r="B1081" s="290">
        <f>C1081*1.25</f>
        <v>17.5</v>
      </c>
      <c r="C1081" s="286">
        <v>14</v>
      </c>
      <c r="D1081" s="294"/>
      <c r="E1081" s="287"/>
      <c r="F1081" s="295"/>
      <c r="G1081" s="295"/>
      <c r="H1081" s="296"/>
      <c r="I1081" s="297"/>
      <c r="J1081" s="297"/>
      <c r="K1081" s="10"/>
      <c r="N1081" s="84"/>
    </row>
    <row r="1082" spans="1:36" s="18" customFormat="1" ht="24.75" customHeight="1">
      <c r="A1082" s="285" t="s">
        <v>19</v>
      </c>
      <c r="B1082" s="290">
        <f>C1082*1.33</f>
        <v>18.62</v>
      </c>
      <c r="C1082" s="286">
        <v>14</v>
      </c>
      <c r="D1082" s="294"/>
      <c r="E1082" s="287"/>
      <c r="F1082" s="295"/>
      <c r="G1082" s="295"/>
      <c r="H1082" s="296"/>
      <c r="I1082" s="297"/>
      <c r="J1082" s="297"/>
      <c r="K1082" s="14"/>
      <c r="L1082" s="29"/>
      <c r="M1082" s="82"/>
      <c r="N1082" s="8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</row>
    <row r="1083" spans="1:36" s="18" customFormat="1" ht="24.75" customHeight="1">
      <c r="A1083" s="285" t="s">
        <v>26</v>
      </c>
      <c r="B1083" s="290">
        <f>C1083*1.19</f>
        <v>16.66</v>
      </c>
      <c r="C1083" s="286">
        <v>14</v>
      </c>
      <c r="D1083" s="294"/>
      <c r="E1083" s="287"/>
      <c r="F1083" s="295"/>
      <c r="G1083" s="295"/>
      <c r="H1083" s="296"/>
      <c r="I1083" s="297"/>
      <c r="J1083" s="297"/>
      <c r="K1083" s="14"/>
      <c r="L1083" s="29"/>
      <c r="M1083" s="82"/>
      <c r="N1083" s="8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</row>
    <row r="1084" spans="1:14" ht="24.75" customHeight="1">
      <c r="A1084" s="269" t="s">
        <v>202</v>
      </c>
      <c r="B1084" s="272">
        <f>C1084*1.11</f>
        <v>27.750000000000004</v>
      </c>
      <c r="C1084" s="286">
        <v>25</v>
      </c>
      <c r="D1084" s="294"/>
      <c r="E1084" s="295"/>
      <c r="F1084" s="295"/>
      <c r="G1084" s="295"/>
      <c r="H1084" s="296"/>
      <c r="I1084" s="297"/>
      <c r="J1084" s="297"/>
      <c r="K1084" s="14"/>
      <c r="N1084" s="84"/>
    </row>
    <row r="1085" spans="1:14" ht="24.75" customHeight="1">
      <c r="A1085" s="285" t="s">
        <v>27</v>
      </c>
      <c r="B1085" s="290">
        <v>8</v>
      </c>
      <c r="C1085" s="286">
        <v>8</v>
      </c>
      <c r="D1085" s="294"/>
      <c r="E1085" s="287"/>
      <c r="F1085" s="295"/>
      <c r="G1085" s="295"/>
      <c r="H1085" s="296"/>
      <c r="I1085" s="297"/>
      <c r="J1085" s="297"/>
      <c r="K1085" s="14"/>
      <c r="N1085" s="84"/>
    </row>
    <row r="1086" spans="1:36" s="18" customFormat="1" ht="24.75" customHeight="1">
      <c r="A1086" s="269" t="s">
        <v>93</v>
      </c>
      <c r="B1086" s="286">
        <v>5</v>
      </c>
      <c r="C1086" s="286">
        <v>5</v>
      </c>
      <c r="D1086" s="294"/>
      <c r="E1086" s="271"/>
      <c r="F1086" s="271"/>
      <c r="G1086" s="271"/>
      <c r="H1086" s="272"/>
      <c r="I1086" s="273"/>
      <c r="J1086" s="273"/>
      <c r="K1086" s="14"/>
      <c r="L1086" s="29"/>
      <c r="M1086" s="82"/>
      <c r="N1086" s="8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</row>
    <row r="1087" spans="1:14" ht="24.75" customHeight="1">
      <c r="A1087" s="285" t="s">
        <v>68</v>
      </c>
      <c r="B1087" s="290">
        <f>C1087*1.35</f>
        <v>4.050000000000001</v>
      </c>
      <c r="C1087" s="286">
        <v>3</v>
      </c>
      <c r="D1087" s="270"/>
      <c r="E1087" s="271"/>
      <c r="F1087" s="271"/>
      <c r="G1087" s="271"/>
      <c r="H1087" s="272"/>
      <c r="I1087" s="273"/>
      <c r="J1087" s="273"/>
      <c r="K1087" s="14"/>
      <c r="N1087" s="84"/>
    </row>
    <row r="1088" spans="1:36" s="18" customFormat="1" ht="24.75" customHeight="1">
      <c r="A1088" s="501" t="s">
        <v>164</v>
      </c>
      <c r="B1088" s="501"/>
      <c r="C1088" s="501"/>
      <c r="D1088" s="282">
        <v>100</v>
      </c>
      <c r="E1088" s="279">
        <v>10.5</v>
      </c>
      <c r="F1088" s="279">
        <v>10.5</v>
      </c>
      <c r="G1088" s="279">
        <v>1.6</v>
      </c>
      <c r="H1088" s="202">
        <f>E1088*4+F1088*9+G1088*4</f>
        <v>142.9</v>
      </c>
      <c r="I1088" s="263">
        <v>1.2</v>
      </c>
      <c r="J1088" s="263" t="s">
        <v>438</v>
      </c>
      <c r="K1088" s="14"/>
      <c r="L1088" s="29"/>
      <c r="M1088" s="82"/>
      <c r="N1088" s="8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</row>
    <row r="1089" spans="1:36" s="18" customFormat="1" ht="24.75" customHeight="1">
      <c r="A1089" s="302" t="s">
        <v>67</v>
      </c>
      <c r="B1089" s="447">
        <f>C1089*1.18</f>
        <v>93.22</v>
      </c>
      <c r="C1089" s="286">
        <v>79</v>
      </c>
      <c r="D1089" s="296"/>
      <c r="E1089" s="295"/>
      <c r="F1089" s="295"/>
      <c r="G1089" s="295"/>
      <c r="H1089" s="294"/>
      <c r="I1089" s="297"/>
      <c r="J1089" s="297"/>
      <c r="K1089" s="14"/>
      <c r="L1089" s="29"/>
      <c r="M1089" s="82"/>
      <c r="N1089" s="8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</row>
    <row r="1090" spans="1:36" s="18" customFormat="1" ht="24.75" customHeight="1">
      <c r="A1090" s="299" t="s">
        <v>71</v>
      </c>
      <c r="B1090" s="301">
        <f>C1090*1.36</f>
        <v>107.44000000000001</v>
      </c>
      <c r="C1090" s="286">
        <v>79</v>
      </c>
      <c r="D1090" s="296"/>
      <c r="E1090" s="295"/>
      <c r="F1090" s="295"/>
      <c r="G1090" s="295"/>
      <c r="H1090" s="337"/>
      <c r="I1090" s="410"/>
      <c r="J1090" s="410"/>
      <c r="K1090" s="10"/>
      <c r="L1090" s="29"/>
      <c r="M1090" s="82"/>
      <c r="N1090" s="8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</row>
    <row r="1091" spans="1:14" ht="24.75" customHeight="1">
      <c r="A1091" s="285" t="s">
        <v>20</v>
      </c>
      <c r="B1091" s="286">
        <v>5</v>
      </c>
      <c r="C1091" s="286">
        <v>5</v>
      </c>
      <c r="D1091" s="296"/>
      <c r="E1091" s="295"/>
      <c r="F1091" s="287"/>
      <c r="G1091" s="287"/>
      <c r="H1091" s="290"/>
      <c r="I1091" s="288"/>
      <c r="J1091" s="288"/>
      <c r="K1091" s="14"/>
      <c r="N1091" s="84"/>
    </row>
    <row r="1092" spans="1:36" s="18" customFormat="1" ht="24.75" customHeight="1">
      <c r="A1092" s="285" t="s">
        <v>26</v>
      </c>
      <c r="B1092" s="290">
        <f>C1092*1.19</f>
        <v>28.56</v>
      </c>
      <c r="C1092" s="286">
        <v>24</v>
      </c>
      <c r="D1092" s="296"/>
      <c r="E1092" s="295"/>
      <c r="F1092" s="295"/>
      <c r="G1092" s="295"/>
      <c r="H1092" s="305"/>
      <c r="I1092" s="284"/>
      <c r="J1092" s="284"/>
      <c r="K1092" s="14"/>
      <c r="L1092" s="29"/>
      <c r="M1092" s="82"/>
      <c r="N1092" s="8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</row>
    <row r="1093" spans="1:36" s="18" customFormat="1" ht="24.75" customHeight="1">
      <c r="A1093" s="285" t="s">
        <v>28</v>
      </c>
      <c r="B1093" s="286">
        <v>4</v>
      </c>
      <c r="C1093" s="286">
        <v>4</v>
      </c>
      <c r="D1093" s="296"/>
      <c r="E1093" s="295"/>
      <c r="F1093" s="287"/>
      <c r="G1093" s="287"/>
      <c r="H1093" s="290"/>
      <c r="I1093" s="288"/>
      <c r="J1093" s="288"/>
      <c r="K1093" s="14"/>
      <c r="L1093" s="29"/>
      <c r="M1093" s="82"/>
      <c r="N1093" s="8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</row>
    <row r="1094" spans="1:36" s="18" customFormat="1" ht="24.75" customHeight="1">
      <c r="A1094" s="269" t="s">
        <v>93</v>
      </c>
      <c r="B1094" s="286">
        <v>10</v>
      </c>
      <c r="C1094" s="286">
        <v>10</v>
      </c>
      <c r="D1094" s="296"/>
      <c r="E1094" s="295"/>
      <c r="F1094" s="287"/>
      <c r="G1094" s="287"/>
      <c r="H1094" s="290"/>
      <c r="I1094" s="288"/>
      <c r="J1094" s="288"/>
      <c r="K1094" s="14"/>
      <c r="L1094" s="29"/>
      <c r="M1094" s="82"/>
      <c r="N1094" s="8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</row>
    <row r="1095" spans="1:14" ht="24.75" customHeight="1">
      <c r="A1095" s="269" t="s">
        <v>108</v>
      </c>
      <c r="B1095" s="286">
        <v>40</v>
      </c>
      <c r="C1095" s="286">
        <v>40</v>
      </c>
      <c r="D1095" s="296"/>
      <c r="E1095" s="295"/>
      <c r="F1095" s="287"/>
      <c r="G1095" s="287"/>
      <c r="H1095" s="290"/>
      <c r="I1095" s="288"/>
      <c r="J1095" s="288"/>
      <c r="K1095" s="47"/>
      <c r="N1095" s="84"/>
    </row>
    <row r="1096" spans="1:36" s="18" customFormat="1" ht="24.75" customHeight="1">
      <c r="A1096" s="501" t="s">
        <v>154</v>
      </c>
      <c r="B1096" s="501"/>
      <c r="C1096" s="501"/>
      <c r="D1096" s="113">
        <v>200</v>
      </c>
      <c r="E1096" s="201">
        <v>2.9</v>
      </c>
      <c r="F1096" s="201">
        <v>3.6</v>
      </c>
      <c r="G1096" s="201">
        <v>46.5</v>
      </c>
      <c r="H1096" s="75">
        <f>E1096*4+F1096*9+G1096*4</f>
        <v>230</v>
      </c>
      <c r="I1096" s="192">
        <v>0</v>
      </c>
      <c r="J1096" s="192" t="s">
        <v>354</v>
      </c>
      <c r="K1096" s="14"/>
      <c r="L1096" s="29"/>
      <c r="M1096" s="82"/>
      <c r="N1096" s="8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</row>
    <row r="1097" spans="1:14" ht="24.75" customHeight="1">
      <c r="A1097" s="280" t="s">
        <v>105</v>
      </c>
      <c r="B1097" s="305">
        <v>70</v>
      </c>
      <c r="C1097" s="305">
        <v>70</v>
      </c>
      <c r="D1097" s="281"/>
      <c r="E1097" s="201"/>
      <c r="F1097" s="201"/>
      <c r="G1097" s="201"/>
      <c r="H1097" s="202"/>
      <c r="I1097" s="263"/>
      <c r="J1097" s="263"/>
      <c r="K1097" s="13"/>
      <c r="N1097" s="84"/>
    </row>
    <row r="1098" spans="1:14" ht="24.75" customHeight="1">
      <c r="A1098" s="285" t="s">
        <v>27</v>
      </c>
      <c r="B1098" s="290">
        <v>5</v>
      </c>
      <c r="C1098" s="290">
        <v>5</v>
      </c>
      <c r="D1098" s="286"/>
      <c r="E1098" s="287"/>
      <c r="F1098" s="287"/>
      <c r="G1098" s="287"/>
      <c r="H1098" s="287"/>
      <c r="I1098" s="288"/>
      <c r="J1098" s="288"/>
      <c r="N1098" s="84"/>
    </row>
    <row r="1099" spans="1:14" ht="24.75" customHeight="1">
      <c r="A1099" s="501" t="s">
        <v>58</v>
      </c>
      <c r="B1099" s="501"/>
      <c r="C1099" s="501"/>
      <c r="D1099" s="227">
        <v>200</v>
      </c>
      <c r="E1099" s="201">
        <v>0.7</v>
      </c>
      <c r="F1099" s="201">
        <v>0.1</v>
      </c>
      <c r="G1099" s="201">
        <v>21.7</v>
      </c>
      <c r="H1099" s="75">
        <v>120</v>
      </c>
      <c r="I1099" s="192">
        <v>0.16</v>
      </c>
      <c r="J1099" s="192" t="s">
        <v>351</v>
      </c>
      <c r="K1099" s="10"/>
      <c r="N1099" s="84"/>
    </row>
    <row r="1100" spans="1:14" ht="24.75" customHeight="1">
      <c r="A1100" s="285" t="s">
        <v>64</v>
      </c>
      <c r="B1100" s="286">
        <v>20</v>
      </c>
      <c r="C1100" s="286">
        <v>20</v>
      </c>
      <c r="D1100" s="286"/>
      <c r="E1100" s="287"/>
      <c r="F1100" s="287"/>
      <c r="G1100" s="287"/>
      <c r="H1100" s="290"/>
      <c r="I1100" s="288"/>
      <c r="J1100" s="288"/>
      <c r="K1100" s="10"/>
      <c r="N1100" s="84"/>
    </row>
    <row r="1101" spans="1:14" ht="24.75" customHeight="1">
      <c r="A1101" s="285" t="s">
        <v>12</v>
      </c>
      <c r="B1101" s="286">
        <v>15</v>
      </c>
      <c r="C1101" s="286">
        <v>15</v>
      </c>
      <c r="D1101" s="286"/>
      <c r="E1101" s="287"/>
      <c r="F1101" s="287"/>
      <c r="G1101" s="287"/>
      <c r="H1101" s="287"/>
      <c r="I1101" s="288"/>
      <c r="J1101" s="288"/>
      <c r="K1101" s="10"/>
      <c r="N1101" s="84"/>
    </row>
    <row r="1102" spans="1:14" ht="24.75" customHeight="1">
      <c r="A1102" s="501" t="s">
        <v>267</v>
      </c>
      <c r="B1102" s="501"/>
      <c r="C1102" s="501"/>
      <c r="D1102" s="113">
        <v>70</v>
      </c>
      <c r="E1102" s="36">
        <v>5.74</v>
      </c>
      <c r="F1102" s="36">
        <v>0.98</v>
      </c>
      <c r="G1102" s="36">
        <v>26.6</v>
      </c>
      <c r="H1102" s="75">
        <v>138.18</v>
      </c>
      <c r="I1102" s="192">
        <v>0</v>
      </c>
      <c r="J1102" s="192"/>
      <c r="K1102" s="10"/>
      <c r="N1102" s="84"/>
    </row>
    <row r="1103" spans="1:14" ht="24.75" customHeight="1">
      <c r="A1103" s="506" t="s">
        <v>70</v>
      </c>
      <c r="B1103" s="506"/>
      <c r="C1103" s="506"/>
      <c r="D1103" s="227">
        <v>70</v>
      </c>
      <c r="E1103" s="201">
        <v>4.6</v>
      </c>
      <c r="F1103" s="201">
        <v>0.8</v>
      </c>
      <c r="G1103" s="201">
        <v>23.4</v>
      </c>
      <c r="H1103" s="202">
        <v>119</v>
      </c>
      <c r="I1103" s="263">
        <v>0</v>
      </c>
      <c r="J1103" s="263"/>
      <c r="K1103" s="10"/>
      <c r="N1103" s="84"/>
    </row>
    <row r="1104" spans="1:36" s="18" customFormat="1" ht="24.75" customHeight="1">
      <c r="A1104" s="510" t="s">
        <v>59</v>
      </c>
      <c r="B1104" s="510"/>
      <c r="C1104" s="510"/>
      <c r="D1104" s="510"/>
      <c r="E1104" s="36">
        <f>E1105+E1107</f>
        <v>1.6</v>
      </c>
      <c r="F1104" s="36">
        <f>F1105+F1107</f>
        <v>1.6</v>
      </c>
      <c r="G1104" s="36">
        <f>G1105+G1107</f>
        <v>68.6</v>
      </c>
      <c r="H1104" s="75">
        <f>H1105+H1107</f>
        <v>295.20000000000005</v>
      </c>
      <c r="I1104" s="192">
        <f>I1105+I1107</f>
        <v>19</v>
      </c>
      <c r="J1104" s="36"/>
      <c r="K1104" s="39"/>
      <c r="L1104" s="29"/>
      <c r="M1104" s="82"/>
      <c r="N1104" s="8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</row>
    <row r="1105" spans="1:36" s="18" customFormat="1" ht="24.75" customHeight="1">
      <c r="A1105" s="495" t="s">
        <v>576</v>
      </c>
      <c r="B1105" s="495"/>
      <c r="C1105" s="495"/>
      <c r="D1105" s="282">
        <v>90</v>
      </c>
      <c r="E1105" s="292">
        <v>1.5</v>
      </c>
      <c r="F1105" s="292">
        <v>1.6</v>
      </c>
      <c r="G1105" s="292">
        <v>46.6</v>
      </c>
      <c r="H1105" s="75">
        <f>E1105*4+F1105*9+G1105*4</f>
        <v>206.8</v>
      </c>
      <c r="I1105" s="192">
        <v>0</v>
      </c>
      <c r="J1105" s="192"/>
      <c r="K1105" s="40"/>
      <c r="L1105" s="29"/>
      <c r="M1105" s="82"/>
      <c r="N1105" s="8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</row>
    <row r="1106" spans="1:36" s="18" customFormat="1" ht="24.75" customHeight="1" thickBot="1">
      <c r="A1106" s="513" t="s">
        <v>390</v>
      </c>
      <c r="B1106" s="513"/>
      <c r="C1106" s="513"/>
      <c r="D1106" s="282"/>
      <c r="E1106" s="292"/>
      <c r="F1106" s="292"/>
      <c r="G1106" s="292"/>
      <c r="H1106" s="75"/>
      <c r="I1106" s="192"/>
      <c r="J1106" s="192"/>
      <c r="K1106" s="41"/>
      <c r="L1106" s="111" t="s">
        <v>95</v>
      </c>
      <c r="M1106" s="97"/>
      <c r="N1106" s="62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</row>
    <row r="1107" spans="1:36" s="18" customFormat="1" ht="60.75" customHeight="1">
      <c r="A1107" s="483" t="s">
        <v>487</v>
      </c>
      <c r="B1107" s="483"/>
      <c r="C1107" s="483"/>
      <c r="D1107" s="227">
        <v>200</v>
      </c>
      <c r="E1107" s="201">
        <v>0.1</v>
      </c>
      <c r="F1107" s="201">
        <v>0</v>
      </c>
      <c r="G1107" s="201">
        <v>22</v>
      </c>
      <c r="H1107" s="202">
        <f>E1107*4+F1107*9+G1107*4</f>
        <v>88.4</v>
      </c>
      <c r="I1107" s="263">
        <v>19</v>
      </c>
      <c r="J1107" s="292" t="s">
        <v>486</v>
      </c>
      <c r="K1107" s="10"/>
      <c r="L1107" s="112" t="s">
        <v>70</v>
      </c>
      <c r="M1107" s="97">
        <f>D1215+D1252</f>
        <v>110</v>
      </c>
      <c r="N1107" s="8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</row>
    <row r="1108" spans="1:36" s="18" customFormat="1" ht="24.75" customHeight="1">
      <c r="A1108" s="510" t="s">
        <v>30</v>
      </c>
      <c r="B1108" s="510"/>
      <c r="C1108" s="510"/>
      <c r="D1108" s="510"/>
      <c r="E1108" s="36">
        <f>SUM(E1109:E1134)</f>
        <v>29.397142857142857</v>
      </c>
      <c r="F1108" s="36">
        <f>SUM(F1109:F1134)</f>
        <v>27.180000000000003</v>
      </c>
      <c r="G1108" s="36">
        <f>SUM(G1109:G1134)</f>
        <v>88.58</v>
      </c>
      <c r="H1108" s="75">
        <f>SUM(H1109:H1134)</f>
        <v>704.4085714285716</v>
      </c>
      <c r="I1108" s="192">
        <f>SUM(I1109:I1134)</f>
        <v>16.46</v>
      </c>
      <c r="J1108" s="36"/>
      <c r="K1108" s="14"/>
      <c r="L1108" s="25" t="s">
        <v>80</v>
      </c>
      <c r="M1108" s="78">
        <f>D1214+D1253+B1237+B1240++B1156</f>
        <v>180</v>
      </c>
      <c r="N1108" s="84">
        <f>+D1214+B1237+B1240+D1253</f>
        <v>150</v>
      </c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</row>
    <row r="1109" spans="1:36" s="18" customFormat="1" ht="24.75" customHeight="1">
      <c r="A1109" s="311" t="s">
        <v>577</v>
      </c>
      <c r="B1109" s="113"/>
      <c r="C1109" s="113"/>
      <c r="D1109" s="113">
        <v>80</v>
      </c>
      <c r="E1109" s="36">
        <v>0.45714285714285713</v>
      </c>
      <c r="F1109" s="36">
        <v>0</v>
      </c>
      <c r="G1109" s="36">
        <v>2.4</v>
      </c>
      <c r="H1109" s="75">
        <f>E1109*4+F1109*9+G1109*4</f>
        <v>11.428571428571429</v>
      </c>
      <c r="I1109" s="263">
        <v>13.72</v>
      </c>
      <c r="J1109" s="263" t="s">
        <v>334</v>
      </c>
      <c r="K1109" s="14"/>
      <c r="L1109" s="25" t="s">
        <v>81</v>
      </c>
      <c r="M1109" s="78">
        <f>+B1218+B1209+B1196+B1200</f>
        <v>33</v>
      </c>
      <c r="N1109" s="8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</row>
    <row r="1110" spans="1:14" ht="24.75" customHeight="1">
      <c r="A1110" s="276" t="s">
        <v>120</v>
      </c>
      <c r="B1110" s="272">
        <f>C1110*1.02</f>
        <v>40.8</v>
      </c>
      <c r="C1110" s="270">
        <v>40</v>
      </c>
      <c r="D1110" s="113"/>
      <c r="E1110" s="36"/>
      <c r="F1110" s="36"/>
      <c r="G1110" s="36"/>
      <c r="H1110" s="75"/>
      <c r="I1110" s="192"/>
      <c r="J1110" s="192"/>
      <c r="K1110" s="14"/>
      <c r="L1110" s="26" t="s">
        <v>123</v>
      </c>
      <c r="M1110" s="78">
        <f>B1219+B1143+C1144+C1177</f>
        <v>63</v>
      </c>
      <c r="N1110" s="84"/>
    </row>
    <row r="1111" spans="1:14" ht="24.75" customHeight="1">
      <c r="A1111" s="285" t="s">
        <v>215</v>
      </c>
      <c r="B1111" s="272">
        <f>C1111*1.18</f>
        <v>47.199999999999996</v>
      </c>
      <c r="C1111" s="270">
        <v>40</v>
      </c>
      <c r="D1111" s="113"/>
      <c r="E1111" s="36"/>
      <c r="F1111" s="36"/>
      <c r="G1111" s="36"/>
      <c r="H1111" s="75"/>
      <c r="I1111" s="192"/>
      <c r="J1111" s="192"/>
      <c r="K1111" s="14"/>
      <c r="L1111" s="26"/>
      <c r="M1111" s="78"/>
      <c r="N1111" s="84"/>
    </row>
    <row r="1112" spans="1:14" ht="24.75" customHeight="1">
      <c r="A1112" s="285" t="s">
        <v>158</v>
      </c>
      <c r="B1112" s="290">
        <f>C1112*1.02</f>
        <v>40.8</v>
      </c>
      <c r="C1112" s="290">
        <v>40</v>
      </c>
      <c r="D1112" s="423"/>
      <c r="E1112" s="292"/>
      <c r="F1112" s="292"/>
      <c r="G1112" s="292"/>
      <c r="H1112" s="307"/>
      <c r="I1112" s="364"/>
      <c r="J1112" s="364"/>
      <c r="K1112" s="14"/>
      <c r="L1112" s="25" t="s">
        <v>137</v>
      </c>
      <c r="M1112" s="78">
        <f>B1164+B1243</f>
        <v>251.0630769230769</v>
      </c>
      <c r="N1112" s="84"/>
    </row>
    <row r="1113" spans="1:36" s="18" customFormat="1" ht="24.75" customHeight="1">
      <c r="A1113" s="285" t="s">
        <v>213</v>
      </c>
      <c r="B1113" s="290">
        <f>C1113*1.05</f>
        <v>42</v>
      </c>
      <c r="C1113" s="290">
        <v>40</v>
      </c>
      <c r="D1113" s="423"/>
      <c r="E1113" s="292"/>
      <c r="F1113" s="292"/>
      <c r="G1113" s="292"/>
      <c r="H1113" s="307"/>
      <c r="I1113" s="364"/>
      <c r="J1113" s="364"/>
      <c r="K1113" s="14"/>
      <c r="L1113" s="25" t="s">
        <v>82</v>
      </c>
      <c r="M1113" s="78">
        <f>B1183+B1186+B1188++B1172+B1239+B1202+B1203+B1205++B1184+B1190+B1230+C1208</f>
        <v>443.5799999999999</v>
      </c>
      <c r="N1113" s="8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</row>
    <row r="1114" spans="1:14" ht="24.75" customHeight="1">
      <c r="A1114" s="501" t="s">
        <v>443</v>
      </c>
      <c r="B1114" s="501"/>
      <c r="C1114" s="501"/>
      <c r="D1114" s="278">
        <v>330</v>
      </c>
      <c r="E1114" s="279">
        <v>18.6</v>
      </c>
      <c r="F1114" s="279">
        <v>21.3</v>
      </c>
      <c r="G1114" s="279">
        <v>37.2</v>
      </c>
      <c r="H1114" s="202">
        <f>E1114*4+F1114*9+G1114*4</f>
        <v>414.90000000000003</v>
      </c>
      <c r="I1114" s="263">
        <v>0.9</v>
      </c>
      <c r="J1114" s="263" t="s">
        <v>424</v>
      </c>
      <c r="K1114" s="14"/>
      <c r="L1114" s="25" t="s">
        <v>83</v>
      </c>
      <c r="M1114" s="78">
        <f>D1161</f>
        <v>180</v>
      </c>
      <c r="N1114" s="84"/>
    </row>
    <row r="1115" spans="1:36" s="18" customFormat="1" ht="24.75" customHeight="1">
      <c r="A1115" s="324" t="s">
        <v>411</v>
      </c>
      <c r="B1115" s="325">
        <f>C1115*1.48</f>
        <v>162.8</v>
      </c>
      <c r="C1115" s="167">
        <v>110</v>
      </c>
      <c r="D1115" s="278"/>
      <c r="E1115" s="279"/>
      <c r="F1115" s="279"/>
      <c r="G1115" s="279"/>
      <c r="H1115" s="279"/>
      <c r="I1115" s="411"/>
      <c r="J1115" s="279"/>
      <c r="K1115" s="10"/>
      <c r="L1115" s="25" t="s">
        <v>124</v>
      </c>
      <c r="M1115" s="78">
        <f>D1227</f>
        <v>200</v>
      </c>
      <c r="N1115" s="8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</row>
    <row r="1116" spans="1:36" s="18" customFormat="1" ht="24.75" customHeight="1">
      <c r="A1116" s="366" t="s">
        <v>412</v>
      </c>
      <c r="B1116" s="325">
        <f>C1116*1.054</f>
        <v>115.94000000000001</v>
      </c>
      <c r="C1116" s="167">
        <v>110</v>
      </c>
      <c r="D1116" s="167"/>
      <c r="E1116" s="266"/>
      <c r="F1116" s="266"/>
      <c r="G1116" s="266"/>
      <c r="H1116" s="167"/>
      <c r="I1116" s="267"/>
      <c r="J1116" s="267"/>
      <c r="K1116" s="10"/>
      <c r="L1116" s="25" t="s">
        <v>84</v>
      </c>
      <c r="M1116" s="78">
        <f>B1212</f>
        <v>25</v>
      </c>
      <c r="N1116" s="84">
        <f>B1147+B1154+B1213+B1220+B1225+B1251</f>
        <v>58</v>
      </c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</row>
    <row r="1117" spans="1:14" ht="24.75" customHeight="1">
      <c r="A1117" s="366" t="s">
        <v>413</v>
      </c>
      <c r="B1117" s="325">
        <f>C1117*1.054</f>
        <v>115.94000000000001</v>
      </c>
      <c r="C1117" s="167">
        <v>110</v>
      </c>
      <c r="D1117" s="167"/>
      <c r="E1117" s="448"/>
      <c r="F1117" s="283"/>
      <c r="G1117" s="271"/>
      <c r="H1117" s="167"/>
      <c r="I1117" s="267"/>
      <c r="J1117" s="267"/>
      <c r="K1117" s="10"/>
      <c r="L1117" s="25" t="s">
        <v>85</v>
      </c>
      <c r="M1117" s="78">
        <f>B1147+B1154++B1213+B1220+B1225++B1251</f>
        <v>58</v>
      </c>
      <c r="N1117" s="84"/>
    </row>
    <row r="1118" spans="1:36" s="18" customFormat="1" ht="24.75" customHeight="1">
      <c r="A1118" s="269" t="s">
        <v>20</v>
      </c>
      <c r="B1118" s="270">
        <v>8</v>
      </c>
      <c r="C1118" s="272">
        <v>8</v>
      </c>
      <c r="D1118" s="278"/>
      <c r="E1118" s="449"/>
      <c r="F1118" s="283"/>
      <c r="G1118" s="271"/>
      <c r="H1118" s="75"/>
      <c r="I1118" s="192"/>
      <c r="J1118" s="192"/>
      <c r="K1118" s="100"/>
      <c r="L1118" s="195" t="s">
        <v>197</v>
      </c>
      <c r="M1118" s="82"/>
      <c r="N1118" s="8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</row>
    <row r="1119" spans="1:14" ht="24.75" customHeight="1">
      <c r="A1119" s="269" t="s">
        <v>207</v>
      </c>
      <c r="B1119" s="270"/>
      <c r="C1119" s="272">
        <v>80</v>
      </c>
      <c r="D1119" s="272"/>
      <c r="E1119" s="449"/>
      <c r="F1119" s="283"/>
      <c r="G1119" s="271"/>
      <c r="H1119" s="272"/>
      <c r="I1119" s="273"/>
      <c r="J1119" s="273"/>
      <c r="K1119" s="10"/>
      <c r="L1119" s="25" t="s">
        <v>125</v>
      </c>
      <c r="M1119" s="78">
        <f>B1152</f>
        <v>2.5</v>
      </c>
      <c r="N1119" s="84"/>
    </row>
    <row r="1120" spans="1:14" s="108" customFormat="1" ht="24.75" customHeight="1">
      <c r="A1120" s="316" t="s">
        <v>31</v>
      </c>
      <c r="B1120" s="442">
        <v>68</v>
      </c>
      <c r="C1120" s="442">
        <v>68</v>
      </c>
      <c r="D1120" s="75"/>
      <c r="E1120" s="449"/>
      <c r="F1120" s="283"/>
      <c r="G1120" s="271"/>
      <c r="H1120" s="113"/>
      <c r="I1120" s="192"/>
      <c r="J1120" s="192"/>
      <c r="K1120" s="10"/>
      <c r="L1120" s="25" t="s">
        <v>86</v>
      </c>
      <c r="M1120" s="78">
        <f>B1250</f>
        <v>0.4</v>
      </c>
      <c r="N1120" s="84"/>
    </row>
    <row r="1121" spans="1:36" s="18" customFormat="1" ht="24.75" customHeight="1">
      <c r="A1121" s="285" t="s">
        <v>25</v>
      </c>
      <c r="B1121" s="290">
        <f>C1121*1.25</f>
        <v>62.5</v>
      </c>
      <c r="C1121" s="286">
        <v>50</v>
      </c>
      <c r="D1121" s="75"/>
      <c r="E1121" s="287"/>
      <c r="F1121" s="287"/>
      <c r="G1121" s="287"/>
      <c r="H1121" s="290"/>
      <c r="I1121" s="288"/>
      <c r="J1121" s="288"/>
      <c r="K1121" s="44"/>
      <c r="L1121" s="25" t="s">
        <v>136</v>
      </c>
      <c r="M1121" s="78">
        <f>C1234+B1175</f>
        <v>103.76</v>
      </c>
      <c r="N1121" s="8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</row>
    <row r="1122" spans="1:36" s="18" customFormat="1" ht="24.75" customHeight="1">
      <c r="A1122" s="285" t="s">
        <v>19</v>
      </c>
      <c r="B1122" s="290">
        <f>C1122*1.33</f>
        <v>66.5</v>
      </c>
      <c r="C1122" s="286">
        <v>50</v>
      </c>
      <c r="D1122" s="75"/>
      <c r="E1122" s="287"/>
      <c r="F1122" s="287"/>
      <c r="G1122" s="287"/>
      <c r="H1122" s="290"/>
      <c r="I1122" s="288"/>
      <c r="J1122" s="288"/>
      <c r="K1122" s="13"/>
      <c r="L1122" s="151" t="s">
        <v>199</v>
      </c>
      <c r="M1122" s="82"/>
      <c r="N1122" s="8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</row>
    <row r="1123" spans="1:36" s="18" customFormat="1" ht="24.75" customHeight="1">
      <c r="A1123" s="285" t="s">
        <v>26</v>
      </c>
      <c r="B1123" s="290">
        <f>C1123*1.19</f>
        <v>17.849999999999998</v>
      </c>
      <c r="C1123" s="286">
        <v>15</v>
      </c>
      <c r="D1123" s="75"/>
      <c r="E1123" s="287"/>
      <c r="F1123" s="287"/>
      <c r="G1123" s="287"/>
      <c r="H1123" s="290"/>
      <c r="I1123" s="288"/>
      <c r="J1123" s="288"/>
      <c r="K1123" s="14"/>
      <c r="L1123" s="25" t="s">
        <v>87</v>
      </c>
      <c r="M1123" s="78">
        <f>B1192</f>
        <v>172</v>
      </c>
      <c r="N1123" s="8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</row>
    <row r="1124" spans="1:36" s="18" customFormat="1" ht="24.75" customHeight="1">
      <c r="A1124" s="501" t="s">
        <v>14</v>
      </c>
      <c r="B1124" s="501"/>
      <c r="C1124" s="501"/>
      <c r="D1124" s="113" t="s">
        <v>15</v>
      </c>
      <c r="E1124" s="36">
        <v>0.2</v>
      </c>
      <c r="F1124" s="36">
        <v>0</v>
      </c>
      <c r="G1124" s="36">
        <v>15.3</v>
      </c>
      <c r="H1124" s="75">
        <v>58</v>
      </c>
      <c r="I1124" s="192">
        <v>0.8</v>
      </c>
      <c r="J1124" s="192" t="s">
        <v>385</v>
      </c>
      <c r="K1124" s="44"/>
      <c r="L1124" s="25" t="s">
        <v>127</v>
      </c>
      <c r="M1124" s="78"/>
      <c r="N1124" s="8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</row>
    <row r="1125" spans="1:14" ht="24.75" customHeight="1">
      <c r="A1125" s="269" t="s">
        <v>16</v>
      </c>
      <c r="B1125" s="270">
        <v>0.4</v>
      </c>
      <c r="C1125" s="270">
        <v>0.4</v>
      </c>
      <c r="D1125" s="270"/>
      <c r="E1125" s="271"/>
      <c r="F1125" s="271"/>
      <c r="G1125" s="271"/>
      <c r="H1125" s="272"/>
      <c r="I1125" s="273"/>
      <c r="J1125" s="273"/>
      <c r="K1125" s="44"/>
      <c r="L1125" s="26" t="s">
        <v>128</v>
      </c>
      <c r="M1125" s="78">
        <f>B1247++B1153+B1145+B1238</f>
        <v>312</v>
      </c>
      <c r="N1125" s="84"/>
    </row>
    <row r="1126" spans="1:14" ht="24.75" customHeight="1">
      <c r="A1126" s="285" t="s">
        <v>12</v>
      </c>
      <c r="B1126" s="270">
        <v>15</v>
      </c>
      <c r="C1126" s="270">
        <v>15</v>
      </c>
      <c r="D1126" s="270"/>
      <c r="E1126" s="271"/>
      <c r="F1126" s="271"/>
      <c r="G1126" s="271"/>
      <c r="H1126" s="272"/>
      <c r="I1126" s="273"/>
      <c r="J1126" s="273"/>
      <c r="K1126" s="44"/>
      <c r="L1126" s="26"/>
      <c r="M1126" s="78">
        <f>B1255</f>
        <v>206</v>
      </c>
      <c r="N1126" s="84">
        <f>B1145+B1153+B1238+B1247+B1255</f>
        <v>518</v>
      </c>
    </row>
    <row r="1127" spans="1:14" ht="24.75" customHeight="1">
      <c r="A1127" s="285" t="s">
        <v>17</v>
      </c>
      <c r="B1127" s="270">
        <v>6</v>
      </c>
      <c r="C1127" s="270">
        <v>5</v>
      </c>
      <c r="D1127" s="270"/>
      <c r="E1127" s="271"/>
      <c r="F1127" s="271"/>
      <c r="G1127" s="271"/>
      <c r="H1127" s="271"/>
      <c r="I1127" s="273"/>
      <c r="J1127" s="273"/>
      <c r="K1127" s="44"/>
      <c r="L1127" s="25" t="s">
        <v>88</v>
      </c>
      <c r="M1127" s="78">
        <f>B1159</f>
        <v>100</v>
      </c>
      <c r="N1127" s="84"/>
    </row>
    <row r="1128" spans="1:36" s="18" customFormat="1" ht="24.75" customHeight="1">
      <c r="A1128" s="506" t="s">
        <v>70</v>
      </c>
      <c r="B1128" s="506"/>
      <c r="C1128" s="506"/>
      <c r="D1128" s="227">
        <v>50</v>
      </c>
      <c r="E1128" s="201">
        <v>3.3</v>
      </c>
      <c r="F1128" s="201">
        <v>0.6</v>
      </c>
      <c r="G1128" s="201">
        <v>16.7</v>
      </c>
      <c r="H1128" s="202">
        <v>85.39999999999999</v>
      </c>
      <c r="I1128" s="263">
        <v>0</v>
      </c>
      <c r="J1128" s="263"/>
      <c r="K1128" s="14"/>
      <c r="L1128" s="25" t="s">
        <v>89</v>
      </c>
      <c r="M1128" s="78">
        <f>+B1222+B1207</f>
        <v>28</v>
      </c>
      <c r="N1128" s="84">
        <f>B1222</f>
        <v>20</v>
      </c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</row>
    <row r="1129" spans="1:36" s="18" customFormat="1" ht="24.75" customHeight="1">
      <c r="A1129" s="501" t="s">
        <v>267</v>
      </c>
      <c r="B1129" s="501"/>
      <c r="C1129" s="501"/>
      <c r="D1129" s="113">
        <v>20</v>
      </c>
      <c r="E1129" s="36">
        <v>1.6400000000000001</v>
      </c>
      <c r="F1129" s="36">
        <v>0.28</v>
      </c>
      <c r="G1129" s="36">
        <v>7.6</v>
      </c>
      <c r="H1129" s="75">
        <v>31.360000000000003</v>
      </c>
      <c r="I1129" s="192">
        <v>0</v>
      </c>
      <c r="J1129" s="192"/>
      <c r="K1129" s="10"/>
      <c r="L1129" s="25" t="s">
        <v>132</v>
      </c>
      <c r="M1129" s="78">
        <f>B1157</f>
        <v>21</v>
      </c>
      <c r="N1129" s="153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</row>
    <row r="1130" spans="1:36" s="18" customFormat="1" ht="24.75" customHeight="1">
      <c r="A1130" s="499" t="s">
        <v>220</v>
      </c>
      <c r="B1130" s="500"/>
      <c r="C1130" s="500"/>
      <c r="D1130" s="500"/>
      <c r="E1130" s="500"/>
      <c r="F1130" s="500"/>
      <c r="G1130" s="500"/>
      <c r="H1130" s="500"/>
      <c r="I1130" s="500"/>
      <c r="J1130" s="512"/>
      <c r="K1130" s="11"/>
      <c r="L1130" s="25" t="s">
        <v>90</v>
      </c>
      <c r="M1130" s="78">
        <f>B1189+B1206++B1221+B1248+B1150+++B1158</f>
        <v>39</v>
      </c>
      <c r="N1130" s="84">
        <f>+B1150+B1189+B1206+B1221+B1248</f>
        <v>34</v>
      </c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</row>
    <row r="1131" spans="1:14" ht="24.75" customHeight="1">
      <c r="A1131" s="506" t="s">
        <v>257</v>
      </c>
      <c r="B1131" s="506"/>
      <c r="C1131" s="506"/>
      <c r="D1131" s="227">
        <v>200</v>
      </c>
      <c r="E1131" s="348">
        <v>5.2</v>
      </c>
      <c r="F1131" s="383">
        <v>5</v>
      </c>
      <c r="G1131" s="348">
        <v>9.38</v>
      </c>
      <c r="H1131" s="384">
        <f>G1131*4+F1131*9+E1131*4</f>
        <v>103.32000000000001</v>
      </c>
      <c r="I1131" s="385">
        <v>1.04</v>
      </c>
      <c r="J1131" s="385" t="s">
        <v>362</v>
      </c>
      <c r="K1131" s="10"/>
      <c r="L1131" s="25" t="s">
        <v>63</v>
      </c>
      <c r="M1131" s="78" t="e">
        <f>B1173+B1241+B1195+#REF!+B1226</f>
        <v>#REF!</v>
      </c>
      <c r="N1131" s="84" t="e">
        <f>B1173+B1195+#REF!+B1226+B1241</f>
        <v>#REF!</v>
      </c>
    </row>
    <row r="1132" spans="1:36" s="18" customFormat="1" ht="24.75" customHeight="1" thickBot="1">
      <c r="A1132" s="280" t="s">
        <v>148</v>
      </c>
      <c r="B1132" s="281">
        <v>210</v>
      </c>
      <c r="C1132" s="281">
        <v>200</v>
      </c>
      <c r="D1132" s="281"/>
      <c r="E1132" s="283"/>
      <c r="F1132" s="283"/>
      <c r="G1132" s="283"/>
      <c r="H1132" s="305"/>
      <c r="I1132" s="284"/>
      <c r="J1132" s="284"/>
      <c r="K1132" s="14"/>
      <c r="L1132" s="27" t="s">
        <v>91</v>
      </c>
      <c r="M1132" s="78">
        <f>B1223+B1198</f>
        <v>26.8</v>
      </c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</row>
    <row r="1133" spans="1:12" ht="55.5" customHeight="1">
      <c r="A1133" s="289" t="s">
        <v>203</v>
      </c>
      <c r="B1133" s="281">
        <v>200</v>
      </c>
      <c r="C1133" s="281">
        <v>200</v>
      </c>
      <c r="D1133" s="282">
        <v>200</v>
      </c>
      <c r="E1133" s="283"/>
      <c r="F1133" s="283"/>
      <c r="G1133" s="283"/>
      <c r="H1133" s="305"/>
      <c r="I1133" s="284"/>
      <c r="J1133" s="284"/>
      <c r="K1133" s="14"/>
      <c r="L1133" s="29" t="s">
        <v>200</v>
      </c>
    </row>
    <row r="1134" spans="1:12" ht="24.75" customHeight="1">
      <c r="A1134" s="380"/>
      <c r="B1134" s="286"/>
      <c r="C1134" s="286"/>
      <c r="D1134" s="278"/>
      <c r="E1134" s="287"/>
      <c r="F1134" s="287"/>
      <c r="G1134" s="287"/>
      <c r="H1134" s="290"/>
      <c r="I1134" s="288"/>
      <c r="J1134" s="288"/>
      <c r="K1134" s="14"/>
      <c r="L1134" s="29" t="s">
        <v>206</v>
      </c>
    </row>
    <row r="1135" spans="1:11" ht="24.75" customHeight="1">
      <c r="A1135" s="482" t="s">
        <v>140</v>
      </c>
      <c r="B1135" s="482"/>
      <c r="C1135" s="482"/>
      <c r="D1135" s="482"/>
      <c r="E1135" s="348">
        <f>E1130+E1108+E1104+E1065+E1044+E1063</f>
        <v>82.59714285714286</v>
      </c>
      <c r="F1135" s="334">
        <f>F1130+F1108+F1104+F1065+F1044+F1063</f>
        <v>85.82000000000001</v>
      </c>
      <c r="G1135" s="334">
        <f>G1130+G1108+G1104+G1065+G1044+G1063</f>
        <v>372.96000000000004</v>
      </c>
      <c r="H1135" s="352">
        <f>H1130+H1108+H1104+H1065+H1044+H1063</f>
        <v>2611.378571428572</v>
      </c>
      <c r="I1135" s="386">
        <f>I1130+I1108+I1104+I1065+I1044+I1063</f>
        <v>76.51</v>
      </c>
      <c r="J1135" s="334"/>
      <c r="K1135" s="14"/>
    </row>
    <row r="1136" spans="1:11" ht="24.75" customHeight="1">
      <c r="A1136" s="528" t="s">
        <v>32</v>
      </c>
      <c r="B1136" s="529"/>
      <c r="C1136" s="529"/>
      <c r="D1136" s="529"/>
      <c r="E1136" s="529"/>
      <c r="F1136" s="529"/>
      <c r="G1136" s="529"/>
      <c r="H1136" s="529"/>
      <c r="I1136" s="529"/>
      <c r="J1136" s="530"/>
      <c r="K1136" s="14"/>
    </row>
    <row r="1137" spans="1:11" ht="24.75" customHeight="1">
      <c r="A1137" s="489" t="s">
        <v>95</v>
      </c>
      <c r="B1137" s="490"/>
      <c r="C1137" s="490"/>
      <c r="D1137" s="490"/>
      <c r="E1137" s="490"/>
      <c r="F1137" s="490"/>
      <c r="G1137" s="490"/>
      <c r="H1137" s="490"/>
      <c r="I1137" s="490"/>
      <c r="J1137" s="491"/>
      <c r="K1137" s="14"/>
    </row>
    <row r="1138" spans="1:36" s="18" customFormat="1" ht="24.75" customHeight="1">
      <c r="A1138" s="498" t="s">
        <v>2</v>
      </c>
      <c r="B1138" s="497" t="s">
        <v>3</v>
      </c>
      <c r="C1138" s="497" t="s">
        <v>4</v>
      </c>
      <c r="D1138" s="498" t="s">
        <v>5</v>
      </c>
      <c r="E1138" s="498"/>
      <c r="F1138" s="498"/>
      <c r="G1138" s="498"/>
      <c r="H1138" s="498"/>
      <c r="I1138" s="498"/>
      <c r="J1138" s="526" t="s">
        <v>302</v>
      </c>
      <c r="K1138" s="14"/>
      <c r="L1138" s="29"/>
      <c r="M1138" s="82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</row>
    <row r="1139" spans="1:36" s="18" customFormat="1" ht="24.75" customHeight="1">
      <c r="A1139" s="498"/>
      <c r="B1139" s="497"/>
      <c r="C1139" s="497"/>
      <c r="D1139" s="497" t="s">
        <v>6</v>
      </c>
      <c r="E1139" s="485" t="s">
        <v>7</v>
      </c>
      <c r="F1139" s="485" t="s">
        <v>8</v>
      </c>
      <c r="G1139" s="485" t="s">
        <v>9</v>
      </c>
      <c r="H1139" s="494" t="s">
        <v>10</v>
      </c>
      <c r="I1139" s="527" t="s">
        <v>303</v>
      </c>
      <c r="J1139" s="526"/>
      <c r="K1139" s="14"/>
      <c r="L1139" s="29"/>
      <c r="M1139" s="82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</row>
    <row r="1140" spans="1:36" s="18" customFormat="1" ht="24.75" customHeight="1">
      <c r="A1140" s="498"/>
      <c r="B1140" s="497"/>
      <c r="C1140" s="497"/>
      <c r="D1140" s="497"/>
      <c r="E1140" s="485"/>
      <c r="F1140" s="485"/>
      <c r="G1140" s="485"/>
      <c r="H1140" s="494"/>
      <c r="I1140" s="527"/>
      <c r="J1140" s="526"/>
      <c r="K1140" s="14"/>
      <c r="L1140" s="29"/>
      <c r="M1140" s="82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</row>
    <row r="1141" spans="1:36" s="18" customFormat="1" ht="24.75" customHeight="1">
      <c r="A1141" s="510" t="s">
        <v>11</v>
      </c>
      <c r="B1141" s="510"/>
      <c r="C1141" s="510"/>
      <c r="D1141" s="510"/>
      <c r="E1141" s="36">
        <f>SUM(E1142:E1161)</f>
        <v>17.099999999999998</v>
      </c>
      <c r="F1141" s="36">
        <f>SUM(F1142:F1161)</f>
        <v>27.4</v>
      </c>
      <c r="G1141" s="36">
        <f>SUM(G1142:G1161)</f>
        <v>93.6</v>
      </c>
      <c r="H1141" s="75">
        <f>SUM(H1142:H1161)</f>
        <v>689.4000000000001</v>
      </c>
      <c r="I1141" s="192">
        <f>SUM(I1142:I1161)</f>
        <v>14.11</v>
      </c>
      <c r="J1141" s="36"/>
      <c r="K1141" s="14"/>
      <c r="N1141" s="8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</row>
    <row r="1142" spans="1:36" s="18" customFormat="1" ht="24.75" customHeight="1">
      <c r="A1142" s="506" t="s">
        <v>332</v>
      </c>
      <c r="B1142" s="506"/>
      <c r="C1142" s="506"/>
      <c r="D1142" s="227" t="s">
        <v>236</v>
      </c>
      <c r="E1142" s="201">
        <v>6.1</v>
      </c>
      <c r="F1142" s="201">
        <v>9.4</v>
      </c>
      <c r="G1142" s="201">
        <v>29.5</v>
      </c>
      <c r="H1142" s="202">
        <f>E1142*4+F1142*9+G1142*4</f>
        <v>227</v>
      </c>
      <c r="I1142" s="263">
        <v>0.7</v>
      </c>
      <c r="J1142" s="227" t="s">
        <v>334</v>
      </c>
      <c r="K1142" s="14"/>
      <c r="N1142" s="8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</row>
    <row r="1143" spans="1:36" s="18" customFormat="1" ht="24.75" customHeight="1">
      <c r="A1143" s="425" t="s">
        <v>333</v>
      </c>
      <c r="B1143" s="402">
        <v>25</v>
      </c>
      <c r="C1143" s="402">
        <v>25</v>
      </c>
      <c r="D1143" s="227"/>
      <c r="E1143" s="201"/>
      <c r="F1143" s="201"/>
      <c r="G1143" s="201"/>
      <c r="H1143" s="227"/>
      <c r="I1143" s="263"/>
      <c r="J1143" s="227"/>
      <c r="K1143" s="10"/>
      <c r="N1143" s="8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</row>
    <row r="1144" spans="1:36" s="18" customFormat="1" ht="24.75" customHeight="1">
      <c r="A1144" s="264" t="s">
        <v>35</v>
      </c>
      <c r="B1144" s="402">
        <v>5</v>
      </c>
      <c r="C1144" s="402">
        <v>5</v>
      </c>
      <c r="D1144" s="227"/>
      <c r="E1144" s="201"/>
      <c r="F1144" s="201"/>
      <c r="G1144" s="201"/>
      <c r="H1144" s="202"/>
      <c r="I1144" s="263"/>
      <c r="J1144" s="263"/>
      <c r="K1144" s="10"/>
      <c r="N1144" s="8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</row>
    <row r="1145" spans="1:36" s="18" customFormat="1" ht="24.75" customHeight="1">
      <c r="A1145" s="280" t="s">
        <v>148</v>
      </c>
      <c r="B1145" s="402">
        <v>132</v>
      </c>
      <c r="C1145" s="402">
        <v>132</v>
      </c>
      <c r="D1145" s="227"/>
      <c r="E1145" s="201"/>
      <c r="F1145" s="201"/>
      <c r="G1145" s="201"/>
      <c r="H1145" s="202"/>
      <c r="I1145" s="263"/>
      <c r="J1145" s="263"/>
      <c r="K1145" s="10"/>
      <c r="N1145" s="8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</row>
    <row r="1146" spans="1:36" s="18" customFormat="1" ht="24.75" customHeight="1">
      <c r="A1146" s="280" t="s">
        <v>108</v>
      </c>
      <c r="B1146" s="402">
        <v>88</v>
      </c>
      <c r="C1146" s="402">
        <v>88</v>
      </c>
      <c r="D1146" s="227"/>
      <c r="E1146" s="201"/>
      <c r="F1146" s="201"/>
      <c r="G1146" s="201"/>
      <c r="H1146" s="202"/>
      <c r="I1146" s="263"/>
      <c r="J1146" s="263"/>
      <c r="K1146" s="63"/>
      <c r="N1146" s="8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</row>
    <row r="1147" spans="1:36" s="18" customFormat="1" ht="24.75" customHeight="1">
      <c r="A1147" s="264" t="s">
        <v>156</v>
      </c>
      <c r="B1147" s="305">
        <v>5</v>
      </c>
      <c r="C1147" s="305">
        <v>5</v>
      </c>
      <c r="D1147" s="227"/>
      <c r="E1147" s="201"/>
      <c r="F1147" s="271"/>
      <c r="G1147" s="268"/>
      <c r="H1147" s="419"/>
      <c r="I1147" s="450"/>
      <c r="J1147" s="284"/>
      <c r="K1147" s="63"/>
      <c r="N1147" s="8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</row>
    <row r="1148" spans="1:36" s="18" customFormat="1" ht="24.75" customHeight="1">
      <c r="A1148" s="264" t="s">
        <v>94</v>
      </c>
      <c r="B1148" s="267">
        <v>0.036</v>
      </c>
      <c r="C1148" s="267">
        <v>0.036</v>
      </c>
      <c r="D1148" s="265"/>
      <c r="E1148" s="266"/>
      <c r="F1148" s="271"/>
      <c r="G1148" s="268"/>
      <c r="H1148" s="419"/>
      <c r="I1148" s="450"/>
      <c r="J1148" s="421"/>
      <c r="K1148" s="63"/>
      <c r="N1148" s="8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</row>
    <row r="1149" spans="1:36" s="18" customFormat="1" ht="24.75" customHeight="1">
      <c r="A1149" s="451" t="s">
        <v>149</v>
      </c>
      <c r="B1149" s="283">
        <v>1.3000000000000003</v>
      </c>
      <c r="C1149" s="283">
        <v>1.3000000000000003</v>
      </c>
      <c r="D1149" s="227"/>
      <c r="E1149" s="201"/>
      <c r="F1149" s="283"/>
      <c r="G1149" s="283"/>
      <c r="H1149" s="305"/>
      <c r="I1149" s="284"/>
      <c r="J1149" s="284"/>
      <c r="K1149" s="14"/>
      <c r="N1149" s="8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</row>
    <row r="1150" spans="1:36" s="18" customFormat="1" ht="24.75" customHeight="1">
      <c r="A1150" s="280" t="s">
        <v>27</v>
      </c>
      <c r="B1150" s="281">
        <v>10</v>
      </c>
      <c r="C1150" s="281">
        <v>10</v>
      </c>
      <c r="D1150" s="281"/>
      <c r="E1150" s="283"/>
      <c r="F1150" s="283"/>
      <c r="G1150" s="283"/>
      <c r="H1150" s="305"/>
      <c r="I1150" s="284"/>
      <c r="J1150" s="284"/>
      <c r="K1150" s="14"/>
      <c r="N1150" s="8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</row>
    <row r="1151" spans="1:36" s="18" customFormat="1" ht="24.75" customHeight="1">
      <c r="A1151" s="506" t="s">
        <v>177</v>
      </c>
      <c r="B1151" s="506"/>
      <c r="C1151" s="506"/>
      <c r="D1151" s="227">
        <v>200</v>
      </c>
      <c r="E1151" s="201">
        <v>3.1</v>
      </c>
      <c r="F1151" s="201">
        <v>2.9</v>
      </c>
      <c r="G1151" s="201">
        <v>21.4</v>
      </c>
      <c r="H1151" s="75">
        <f>E1151*4+F1151*9+G1151*4</f>
        <v>124.1</v>
      </c>
      <c r="I1151" s="263">
        <v>0.78</v>
      </c>
      <c r="J1151" s="263" t="s">
        <v>357</v>
      </c>
      <c r="K1151" s="14"/>
      <c r="N1151" s="8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</row>
    <row r="1152" spans="1:36" s="18" customFormat="1" ht="17.25" customHeight="1">
      <c r="A1152" s="269" t="s">
        <v>102</v>
      </c>
      <c r="B1152" s="270">
        <v>2.5</v>
      </c>
      <c r="C1152" s="270">
        <v>2.5</v>
      </c>
      <c r="D1152" s="270"/>
      <c r="E1152" s="271"/>
      <c r="F1152" s="271"/>
      <c r="G1152" s="271"/>
      <c r="H1152" s="272"/>
      <c r="I1152" s="273"/>
      <c r="J1152" s="273"/>
      <c r="K1152" s="14"/>
      <c r="N1152" s="8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</row>
    <row r="1153" spans="1:36" s="18" customFormat="1" ht="18" customHeight="1">
      <c r="A1153" s="280" t="s">
        <v>148</v>
      </c>
      <c r="B1153" s="265">
        <v>130</v>
      </c>
      <c r="C1153" s="265">
        <v>130</v>
      </c>
      <c r="D1153" s="265"/>
      <c r="E1153" s="266"/>
      <c r="F1153" s="266"/>
      <c r="G1153" s="266"/>
      <c r="H1153" s="266"/>
      <c r="I1153" s="267"/>
      <c r="J1153" s="267"/>
      <c r="K1153" s="14"/>
      <c r="N1153" s="8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</row>
    <row r="1154" spans="1:36" s="18" customFormat="1" ht="16.5" customHeight="1">
      <c r="A1154" s="285" t="s">
        <v>12</v>
      </c>
      <c r="B1154" s="270">
        <v>15</v>
      </c>
      <c r="C1154" s="270">
        <v>15</v>
      </c>
      <c r="D1154" s="265"/>
      <c r="E1154" s="266"/>
      <c r="F1154" s="266"/>
      <c r="G1154" s="271"/>
      <c r="H1154" s="271"/>
      <c r="I1154" s="273"/>
      <c r="J1154" s="273"/>
      <c r="K1154" s="14"/>
      <c r="N1154" s="8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</row>
    <row r="1155" spans="1:36" s="18" customFormat="1" ht="24.75" customHeight="1">
      <c r="A1155" s="501" t="s">
        <v>175</v>
      </c>
      <c r="B1155" s="501"/>
      <c r="C1155" s="501"/>
      <c r="D1155" s="275" t="s">
        <v>238</v>
      </c>
      <c r="E1155" s="36">
        <v>4.3</v>
      </c>
      <c r="F1155" s="36">
        <v>9.7</v>
      </c>
      <c r="G1155" s="36">
        <v>14.2</v>
      </c>
      <c r="H1155" s="75">
        <f>E1155*4+F1155*9+G1155*4</f>
        <v>161.3</v>
      </c>
      <c r="I1155" s="192">
        <v>0.14</v>
      </c>
      <c r="J1155" s="192" t="s">
        <v>343</v>
      </c>
      <c r="K1155" s="14"/>
      <c r="L1155" s="29"/>
      <c r="M1155" s="82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</row>
    <row r="1156" spans="1:36" s="18" customFormat="1" ht="24.75" customHeight="1">
      <c r="A1156" s="276" t="s">
        <v>348</v>
      </c>
      <c r="B1156" s="270">
        <v>30</v>
      </c>
      <c r="C1156" s="270">
        <v>30</v>
      </c>
      <c r="D1156" s="270"/>
      <c r="E1156" s="271"/>
      <c r="F1156" s="271"/>
      <c r="G1156" s="271"/>
      <c r="H1156" s="272"/>
      <c r="I1156" s="273"/>
      <c r="J1156" s="273"/>
      <c r="K1156" s="14"/>
      <c r="L1156" s="29"/>
      <c r="M1156" s="82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</row>
    <row r="1157" spans="1:36" s="18" customFormat="1" ht="15" customHeight="1">
      <c r="A1157" s="269" t="s">
        <v>178</v>
      </c>
      <c r="B1157" s="270">
        <v>21</v>
      </c>
      <c r="C1157" s="270">
        <v>20</v>
      </c>
      <c r="D1157" s="270"/>
      <c r="E1157" s="271"/>
      <c r="F1157" s="271"/>
      <c r="G1157" s="271"/>
      <c r="H1157" s="272"/>
      <c r="I1157" s="273"/>
      <c r="J1157" s="273"/>
      <c r="K1157" s="14"/>
      <c r="L1157" s="29"/>
      <c r="M1157" s="82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</row>
    <row r="1158" spans="1:36" s="18" customFormat="1" ht="15" customHeight="1">
      <c r="A1158" s="269" t="s">
        <v>27</v>
      </c>
      <c r="B1158" s="270">
        <v>5</v>
      </c>
      <c r="C1158" s="270">
        <v>5</v>
      </c>
      <c r="D1158" s="270"/>
      <c r="E1158" s="271"/>
      <c r="F1158" s="271"/>
      <c r="G1158" s="271"/>
      <c r="H1158" s="272"/>
      <c r="I1158" s="273"/>
      <c r="J1158" s="273"/>
      <c r="K1158" s="14"/>
      <c r="L1158" s="29"/>
      <c r="M1158" s="82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</row>
    <row r="1159" spans="1:36" s="18" customFormat="1" ht="147.75" customHeight="1">
      <c r="A1159" s="322" t="s">
        <v>521</v>
      </c>
      <c r="B1159" s="286">
        <v>100</v>
      </c>
      <c r="C1159" s="286">
        <v>100</v>
      </c>
      <c r="D1159" s="278">
        <v>100</v>
      </c>
      <c r="E1159" s="279">
        <v>3.2</v>
      </c>
      <c r="F1159" s="292">
        <v>5.4</v>
      </c>
      <c r="G1159" s="292">
        <v>10.5</v>
      </c>
      <c r="H1159" s="75">
        <f>E1159*4+F1159*9+G1159*4</f>
        <v>103.4</v>
      </c>
      <c r="I1159" s="192">
        <v>0.49</v>
      </c>
      <c r="J1159" s="192">
        <v>0.04</v>
      </c>
      <c r="K1159" s="14"/>
      <c r="L1159" s="29"/>
      <c r="M1159" s="82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</row>
    <row r="1160" spans="1:36" s="18" customFormat="1" ht="24.75" customHeight="1">
      <c r="A1160" s="499" t="s">
        <v>150</v>
      </c>
      <c r="B1160" s="500"/>
      <c r="C1160" s="500"/>
      <c r="D1160" s="500"/>
      <c r="E1160" s="500"/>
      <c r="F1160" s="500"/>
      <c r="G1160" s="500"/>
      <c r="H1160" s="500"/>
      <c r="I1160" s="500"/>
      <c r="J1160" s="512"/>
      <c r="K1160" s="14"/>
      <c r="L1160" s="29"/>
      <c r="M1160" s="82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</row>
    <row r="1161" spans="1:36" s="18" customFormat="1" ht="44.25" customHeight="1">
      <c r="A1161" s="492" t="s">
        <v>337</v>
      </c>
      <c r="B1161" s="492"/>
      <c r="C1161" s="492"/>
      <c r="D1161" s="282">
        <v>180</v>
      </c>
      <c r="E1161" s="201">
        <v>0.4</v>
      </c>
      <c r="F1161" s="279">
        <v>0</v>
      </c>
      <c r="G1161" s="201">
        <v>18</v>
      </c>
      <c r="H1161" s="202">
        <f>E1161*4+F1161*9+G1161*4</f>
        <v>73.6</v>
      </c>
      <c r="I1161" s="263">
        <v>12</v>
      </c>
      <c r="J1161" s="263"/>
      <c r="K1161" s="14"/>
      <c r="L1161" s="29"/>
      <c r="M1161" s="82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</row>
    <row r="1162" spans="1:36" s="18" customFormat="1" ht="18.75" customHeight="1">
      <c r="A1162" s="510" t="s">
        <v>18</v>
      </c>
      <c r="B1162" s="510"/>
      <c r="C1162" s="510"/>
      <c r="D1162" s="510"/>
      <c r="E1162" s="36">
        <f>E1163+E1174+E1195+E1201+E1211+E1214+E1215</f>
        <v>24.52</v>
      </c>
      <c r="F1162" s="36">
        <f>F1163+F1174+F1195+F1201+F1211+F1214+F1215</f>
        <v>18.74</v>
      </c>
      <c r="G1162" s="36">
        <f>G1163+G1174+G1195+G1201+G1211+G1214+G1215</f>
        <v>125.28</v>
      </c>
      <c r="H1162" s="75">
        <f>H1163+H1174+H1195+H1201+H1211+H1214+H1215+H1191</f>
        <v>982</v>
      </c>
      <c r="I1162" s="192">
        <f>I1163+I1174+I1195+I1201+I1211+I1214+I1215</f>
        <v>132.46</v>
      </c>
      <c r="J1162" s="36">
        <f>SUM(J1163:J1219)</f>
        <v>0</v>
      </c>
      <c r="K1162" s="14"/>
      <c r="L1162" s="29"/>
      <c r="M1162" s="82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</row>
    <row r="1163" spans="1:36" s="18" customFormat="1" ht="18" customHeight="1">
      <c r="A1163" s="262" t="s">
        <v>578</v>
      </c>
      <c r="B1163" s="272"/>
      <c r="C1163" s="270"/>
      <c r="D1163" s="113">
        <v>80</v>
      </c>
      <c r="E1163" s="36">
        <v>1.9</v>
      </c>
      <c r="F1163" s="36">
        <v>5</v>
      </c>
      <c r="G1163" s="36">
        <v>10.2</v>
      </c>
      <c r="H1163" s="75">
        <f>E1163*4+F1163*9+G1163*4</f>
        <v>93.4</v>
      </c>
      <c r="I1163" s="192">
        <v>7.8</v>
      </c>
      <c r="J1163" s="395" t="s">
        <v>502</v>
      </c>
      <c r="K1163" s="14"/>
      <c r="L1163" s="29"/>
      <c r="M1163" s="82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</row>
    <row r="1164" spans="1:36" s="18" customFormat="1" ht="16.5" customHeight="1">
      <c r="A1164" s="285" t="s">
        <v>21</v>
      </c>
      <c r="B1164" s="290">
        <f>C1164*1.33</f>
        <v>23.94</v>
      </c>
      <c r="C1164" s="270">
        <v>18</v>
      </c>
      <c r="D1164" s="281"/>
      <c r="E1164" s="283"/>
      <c r="F1164" s="283"/>
      <c r="G1164" s="283"/>
      <c r="H1164" s="281"/>
      <c r="I1164" s="284"/>
      <c r="J1164" s="284"/>
      <c r="K1164" s="14"/>
      <c r="L1164" s="29"/>
      <c r="M1164" s="82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</row>
    <row r="1165" spans="1:36" s="18" customFormat="1" ht="12.75" customHeight="1">
      <c r="A1165" s="285" t="s">
        <v>22</v>
      </c>
      <c r="B1165" s="290">
        <f>C1165*1.43</f>
        <v>25.74</v>
      </c>
      <c r="C1165" s="270">
        <v>18</v>
      </c>
      <c r="D1165" s="75"/>
      <c r="E1165" s="36"/>
      <c r="F1165" s="36"/>
      <c r="G1165" s="36"/>
      <c r="H1165" s="75"/>
      <c r="I1165" s="192"/>
      <c r="J1165" s="192"/>
      <c r="K1165" s="14"/>
      <c r="L1165" s="200"/>
      <c r="M1165" s="104"/>
      <c r="N1165" s="10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</row>
    <row r="1166" spans="1:36" s="18" customFormat="1" ht="17.25" customHeight="1">
      <c r="A1166" s="285" t="s">
        <v>23</v>
      </c>
      <c r="B1166" s="290">
        <f>C1166*1.54</f>
        <v>27.72</v>
      </c>
      <c r="C1166" s="270">
        <v>18</v>
      </c>
      <c r="D1166" s="75"/>
      <c r="E1166" s="36"/>
      <c r="F1166" s="36"/>
      <c r="G1166" s="36"/>
      <c r="H1166" s="75"/>
      <c r="I1166" s="192"/>
      <c r="J1166" s="192"/>
      <c r="K1166" s="14"/>
      <c r="L1166" s="200"/>
      <c r="M1166" s="104"/>
      <c r="N1166" s="10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</row>
    <row r="1167" spans="1:36" s="18" customFormat="1" ht="12.75" customHeight="1">
      <c r="A1167" s="285" t="s">
        <v>24</v>
      </c>
      <c r="B1167" s="290">
        <f>C1167*1.67</f>
        <v>30.06</v>
      </c>
      <c r="C1167" s="270">
        <v>18</v>
      </c>
      <c r="D1167" s="75"/>
      <c r="E1167" s="36"/>
      <c r="F1167" s="36"/>
      <c r="G1167" s="36"/>
      <c r="H1167" s="75"/>
      <c r="I1167" s="192"/>
      <c r="J1167" s="192"/>
      <c r="K1167" s="14"/>
      <c r="L1167" s="200"/>
      <c r="M1167" s="104"/>
      <c r="N1167" s="10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</row>
    <row r="1168" spans="1:36" s="18" customFormat="1" ht="15" customHeight="1">
      <c r="A1168" s="264" t="s">
        <v>25</v>
      </c>
      <c r="B1168" s="167">
        <f>C1168*1.25</f>
        <v>22.5</v>
      </c>
      <c r="C1168" s="167">
        <v>18</v>
      </c>
      <c r="D1168" s="75"/>
      <c r="E1168" s="36"/>
      <c r="F1168" s="36"/>
      <c r="G1168" s="36"/>
      <c r="H1168" s="75"/>
      <c r="I1168" s="192"/>
      <c r="J1168" s="192"/>
      <c r="K1168" s="14"/>
      <c r="L1168" s="257"/>
      <c r="M1168" s="258"/>
      <c r="N1168" s="258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</row>
    <row r="1169" spans="1:36" s="18" customFormat="1" ht="11.25" customHeight="1">
      <c r="A1169" s="264" t="s">
        <v>19</v>
      </c>
      <c r="B1169" s="167">
        <f>C1169*1.33</f>
        <v>23.94</v>
      </c>
      <c r="C1169" s="167">
        <v>18</v>
      </c>
      <c r="D1169" s="75"/>
      <c r="E1169" s="36"/>
      <c r="F1169" s="36"/>
      <c r="G1169" s="36"/>
      <c r="H1169" s="75"/>
      <c r="I1169" s="192"/>
      <c r="J1169" s="192"/>
      <c r="K1169" s="14"/>
      <c r="L1169" s="257"/>
      <c r="M1169" s="258"/>
      <c r="N1169" s="258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</row>
    <row r="1170" spans="1:36" s="18" customFormat="1" ht="11.25" customHeight="1">
      <c r="A1170" s="264" t="s">
        <v>26</v>
      </c>
      <c r="B1170" s="167">
        <f>C1170*1.19</f>
        <v>11.899999999999999</v>
      </c>
      <c r="C1170" s="167">
        <v>10</v>
      </c>
      <c r="D1170" s="75"/>
      <c r="E1170" s="36"/>
      <c r="F1170" s="36"/>
      <c r="G1170" s="36"/>
      <c r="H1170" s="75"/>
      <c r="I1170" s="192"/>
      <c r="J1170" s="192"/>
      <c r="K1170" s="14"/>
      <c r="L1170" s="29"/>
      <c r="M1170" s="82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</row>
    <row r="1171" spans="1:36" s="18" customFormat="1" ht="11.25" customHeight="1">
      <c r="A1171" s="285" t="s">
        <v>579</v>
      </c>
      <c r="B1171" s="290">
        <v>19</v>
      </c>
      <c r="C1171" s="270">
        <v>14</v>
      </c>
      <c r="D1171" s="75"/>
      <c r="E1171" s="36"/>
      <c r="F1171" s="36"/>
      <c r="G1171" s="36"/>
      <c r="H1171" s="75"/>
      <c r="I1171" s="192"/>
      <c r="J1171" s="192"/>
      <c r="K1171" s="14"/>
      <c r="L1171" s="29"/>
      <c r="M1171" s="82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</row>
    <row r="1172" spans="1:36" s="18" customFormat="1" ht="54.75" customHeight="1">
      <c r="A1172" s="276" t="s">
        <v>214</v>
      </c>
      <c r="B1172" s="272">
        <f>C1172*1.54</f>
        <v>27.72</v>
      </c>
      <c r="C1172" s="270">
        <v>18</v>
      </c>
      <c r="D1172" s="75"/>
      <c r="E1172" s="36"/>
      <c r="F1172" s="36"/>
      <c r="G1172" s="36"/>
      <c r="H1172" s="75"/>
      <c r="I1172" s="192"/>
      <c r="J1172" s="192"/>
      <c r="K1172" s="14"/>
      <c r="L1172" s="29"/>
      <c r="M1172" s="82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</row>
    <row r="1173" spans="1:11" ht="17.25" customHeight="1">
      <c r="A1173" s="269" t="s">
        <v>20</v>
      </c>
      <c r="B1173" s="272">
        <v>7</v>
      </c>
      <c r="C1173" s="270">
        <v>7</v>
      </c>
      <c r="D1173" s="75"/>
      <c r="E1173" s="36"/>
      <c r="F1173" s="36"/>
      <c r="G1173" s="36"/>
      <c r="H1173" s="75"/>
      <c r="I1173" s="192"/>
      <c r="J1173" s="192"/>
      <c r="K1173" s="14"/>
    </row>
    <row r="1174" spans="1:36" s="18" customFormat="1" ht="24.75" customHeight="1">
      <c r="A1174" s="482" t="s">
        <v>500</v>
      </c>
      <c r="B1174" s="482"/>
      <c r="C1174" s="482"/>
      <c r="D1174" s="314" t="s">
        <v>499</v>
      </c>
      <c r="E1174" s="279">
        <v>5.3</v>
      </c>
      <c r="F1174" s="279">
        <v>7.1</v>
      </c>
      <c r="G1174" s="279">
        <v>14.7</v>
      </c>
      <c r="H1174" s="202">
        <f>E1174*4+F1174*9+G1174*4</f>
        <v>143.89999999999998</v>
      </c>
      <c r="I1174" s="263">
        <v>6.3</v>
      </c>
      <c r="J1174" s="263" t="s">
        <v>501</v>
      </c>
      <c r="K1174" s="14"/>
      <c r="L1174" s="29"/>
      <c r="M1174" s="82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</row>
    <row r="1175" spans="1:36" s="18" customFormat="1" ht="16.5" customHeight="1">
      <c r="A1175" s="299" t="s">
        <v>60</v>
      </c>
      <c r="B1175" s="301">
        <f>C1175*1.36</f>
        <v>21.76</v>
      </c>
      <c r="C1175" s="265">
        <v>16</v>
      </c>
      <c r="D1175" s="227"/>
      <c r="E1175" s="201"/>
      <c r="F1175" s="201"/>
      <c r="G1175" s="201"/>
      <c r="H1175" s="202"/>
      <c r="I1175" s="263"/>
      <c r="J1175" s="263"/>
      <c r="K1175" s="1"/>
      <c r="L1175" s="29"/>
      <c r="M1175" s="82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</row>
    <row r="1176" spans="1:36" s="18" customFormat="1" ht="20.25" customHeight="1">
      <c r="A1176" s="302" t="s">
        <v>72</v>
      </c>
      <c r="B1176" s="435">
        <f>C1176*1.18</f>
        <v>18.88</v>
      </c>
      <c r="C1176" s="265">
        <v>16</v>
      </c>
      <c r="D1176" s="227"/>
      <c r="E1176" s="201"/>
      <c r="F1176" s="201"/>
      <c r="G1176" s="201"/>
      <c r="H1176" s="75"/>
      <c r="I1176" s="192"/>
      <c r="J1176" s="192"/>
      <c r="K1176" s="1"/>
      <c r="L1176" s="29"/>
      <c r="M1176" s="82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</row>
    <row r="1177" spans="1:36" s="18" customFormat="1" ht="20.25" customHeight="1">
      <c r="A1177" s="264" t="s">
        <v>498</v>
      </c>
      <c r="B1177" s="420">
        <v>13</v>
      </c>
      <c r="C1177" s="265">
        <v>13</v>
      </c>
      <c r="D1177" s="227"/>
      <c r="E1177" s="201"/>
      <c r="F1177" s="201"/>
      <c r="G1177" s="201"/>
      <c r="H1177" s="75"/>
      <c r="I1177" s="192"/>
      <c r="J1177" s="192"/>
      <c r="K1177" s="1"/>
      <c r="L1177" s="29"/>
      <c r="M1177" s="82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</row>
    <row r="1178" spans="1:36" s="18" customFormat="1" ht="20.25" customHeight="1">
      <c r="A1178" s="264" t="s">
        <v>497</v>
      </c>
      <c r="B1178" s="420">
        <v>17</v>
      </c>
      <c r="C1178" s="265">
        <v>17</v>
      </c>
      <c r="D1178" s="227"/>
      <c r="E1178" s="201"/>
      <c r="F1178" s="201"/>
      <c r="G1178" s="201"/>
      <c r="H1178" s="75"/>
      <c r="I1178" s="192"/>
      <c r="J1178" s="192"/>
      <c r="K1178" s="1"/>
      <c r="L1178" s="29"/>
      <c r="M1178" s="82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</row>
    <row r="1179" spans="1:36" s="18" customFormat="1" ht="20.25" customHeight="1">
      <c r="A1179" s="285" t="s">
        <v>21</v>
      </c>
      <c r="B1179" s="290">
        <f>C1179*1.33</f>
        <v>71.82000000000001</v>
      </c>
      <c r="C1179" s="270">
        <v>54</v>
      </c>
      <c r="D1179" s="227"/>
      <c r="E1179" s="201"/>
      <c r="F1179" s="201"/>
      <c r="G1179" s="201"/>
      <c r="H1179" s="75"/>
      <c r="I1179" s="192"/>
      <c r="J1179" s="192"/>
      <c r="K1179" s="1"/>
      <c r="L1179" s="29"/>
      <c r="M1179" s="82"/>
      <c r="N1179" s="259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</row>
    <row r="1180" spans="1:36" s="18" customFormat="1" ht="20.25" customHeight="1">
      <c r="A1180" s="285" t="s">
        <v>22</v>
      </c>
      <c r="B1180" s="290">
        <f>C1180*1.43</f>
        <v>77.22</v>
      </c>
      <c r="C1180" s="270">
        <v>54</v>
      </c>
      <c r="D1180" s="227"/>
      <c r="E1180" s="201"/>
      <c r="F1180" s="201"/>
      <c r="G1180" s="201"/>
      <c r="H1180" s="75"/>
      <c r="I1180" s="192"/>
      <c r="J1180" s="192"/>
      <c r="K1180" s="1"/>
      <c r="L1180" s="29"/>
      <c r="M1180" s="82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</row>
    <row r="1181" spans="1:36" s="18" customFormat="1" ht="20.25" customHeight="1">
      <c r="A1181" s="285" t="s">
        <v>23</v>
      </c>
      <c r="B1181" s="290">
        <f>C1181*1.54</f>
        <v>83.16</v>
      </c>
      <c r="C1181" s="270">
        <v>54</v>
      </c>
      <c r="D1181" s="227"/>
      <c r="E1181" s="201"/>
      <c r="F1181" s="201"/>
      <c r="G1181" s="201"/>
      <c r="H1181" s="75"/>
      <c r="I1181" s="192"/>
      <c r="J1181" s="192"/>
      <c r="K1181" s="1"/>
      <c r="L1181" s="29"/>
      <c r="M1181" s="82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</row>
    <row r="1182" spans="1:36" s="18" customFormat="1" ht="20.25" customHeight="1">
      <c r="A1182" s="285" t="s">
        <v>24</v>
      </c>
      <c r="B1182" s="290">
        <f>C1182*1.67</f>
        <v>90.17999999999999</v>
      </c>
      <c r="C1182" s="270">
        <v>54</v>
      </c>
      <c r="D1182" s="227"/>
      <c r="E1182" s="201"/>
      <c r="F1182" s="201"/>
      <c r="G1182" s="201"/>
      <c r="H1182" s="75"/>
      <c r="I1182" s="192"/>
      <c r="J1182" s="192"/>
      <c r="K1182" s="1"/>
      <c r="L1182" s="29"/>
      <c r="M1182" s="82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</row>
    <row r="1183" spans="1:36" s="18" customFormat="1" ht="45" customHeight="1">
      <c r="A1183" s="298" t="s">
        <v>294</v>
      </c>
      <c r="B1183" s="290">
        <v>3</v>
      </c>
      <c r="C1183" s="290">
        <v>3</v>
      </c>
      <c r="D1183" s="227"/>
      <c r="E1183" s="201"/>
      <c r="F1183" s="201"/>
      <c r="G1183" s="201"/>
      <c r="H1183" s="75"/>
      <c r="I1183" s="192"/>
      <c r="J1183" s="192"/>
      <c r="K1183" s="1"/>
      <c r="L1183" s="29"/>
      <c r="M1183" s="82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</row>
    <row r="1184" spans="1:36" s="18" customFormat="1" ht="36.75" customHeight="1">
      <c r="A1184" s="280" t="s">
        <v>120</v>
      </c>
      <c r="B1184" s="305">
        <f>C1184*1.02</f>
        <v>7.140000000000001</v>
      </c>
      <c r="C1184" s="305">
        <v>7</v>
      </c>
      <c r="D1184" s="227"/>
      <c r="E1184" s="201"/>
      <c r="F1184" s="201"/>
      <c r="G1184" s="201"/>
      <c r="H1184" s="75"/>
      <c r="I1184" s="192"/>
      <c r="J1184" s="192"/>
      <c r="K1184" s="1"/>
      <c r="L1184" s="29"/>
      <c r="M1184" s="82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</row>
    <row r="1185" spans="1:36" s="18" customFormat="1" ht="15" customHeight="1">
      <c r="A1185" s="280" t="s">
        <v>215</v>
      </c>
      <c r="B1185" s="305">
        <f>C1185*1.18</f>
        <v>8.26</v>
      </c>
      <c r="C1185" s="305">
        <v>7</v>
      </c>
      <c r="D1185" s="227"/>
      <c r="E1185" s="201"/>
      <c r="F1185" s="201"/>
      <c r="G1185" s="201"/>
      <c r="H1185" s="202"/>
      <c r="I1185" s="263"/>
      <c r="J1185" s="263"/>
      <c r="K1185" s="1"/>
      <c r="L1185" s="29"/>
      <c r="M1185" s="82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</row>
    <row r="1186" spans="1:36" s="18" customFormat="1" ht="22.5" customHeight="1">
      <c r="A1186" s="285" t="s">
        <v>25</v>
      </c>
      <c r="B1186" s="290">
        <f>C1186*1.25</f>
        <v>8.75</v>
      </c>
      <c r="C1186" s="290">
        <v>7</v>
      </c>
      <c r="D1186" s="227"/>
      <c r="E1186" s="201"/>
      <c r="F1186" s="201"/>
      <c r="G1186" s="201"/>
      <c r="H1186" s="202"/>
      <c r="I1186" s="263"/>
      <c r="J1186" s="263"/>
      <c r="K1186" s="1"/>
      <c r="L1186" s="29"/>
      <c r="M1186" s="82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</row>
    <row r="1187" spans="1:11" ht="23.25" customHeight="1">
      <c r="A1187" s="285" t="s">
        <v>19</v>
      </c>
      <c r="B1187" s="290">
        <f>C1187*1.33</f>
        <v>9.31</v>
      </c>
      <c r="C1187" s="290">
        <v>7</v>
      </c>
      <c r="D1187" s="286"/>
      <c r="E1187" s="287"/>
      <c r="F1187" s="287"/>
      <c r="G1187" s="287"/>
      <c r="H1187" s="290"/>
      <c r="I1187" s="288"/>
      <c r="J1187" s="288"/>
      <c r="K1187" s="1"/>
    </row>
    <row r="1188" spans="1:11" ht="14.25" customHeight="1">
      <c r="A1188" s="285" t="s">
        <v>26</v>
      </c>
      <c r="B1188" s="290">
        <f>C1188*1.19</f>
        <v>11.899999999999999</v>
      </c>
      <c r="C1188" s="290">
        <v>10</v>
      </c>
      <c r="D1188" s="286"/>
      <c r="E1188" s="287"/>
      <c r="F1188" s="287"/>
      <c r="G1188" s="287"/>
      <c r="H1188" s="290"/>
      <c r="I1188" s="288"/>
      <c r="J1188" s="288"/>
      <c r="K1188" s="1"/>
    </row>
    <row r="1189" spans="1:11" ht="16.5" customHeight="1">
      <c r="A1189" s="285" t="s">
        <v>27</v>
      </c>
      <c r="B1189" s="290">
        <v>8</v>
      </c>
      <c r="C1189" s="290">
        <v>8</v>
      </c>
      <c r="D1189" s="286"/>
      <c r="E1189" s="287"/>
      <c r="F1189" s="287"/>
      <c r="G1189" s="287"/>
      <c r="H1189" s="290"/>
      <c r="I1189" s="288"/>
      <c r="J1189" s="288"/>
      <c r="K1189" s="1"/>
    </row>
    <row r="1190" spans="1:11" ht="17.25" customHeight="1">
      <c r="A1190" s="285" t="s">
        <v>68</v>
      </c>
      <c r="B1190" s="290">
        <v>1</v>
      </c>
      <c r="C1190" s="286">
        <v>1</v>
      </c>
      <c r="D1190" s="286"/>
      <c r="E1190" s="287"/>
      <c r="F1190" s="287"/>
      <c r="G1190" s="287"/>
      <c r="H1190" s="290"/>
      <c r="I1190" s="288"/>
      <c r="J1190" s="288"/>
      <c r="K1190" s="1"/>
    </row>
    <row r="1191" spans="1:11" ht="16.5" customHeight="1">
      <c r="A1191" s="344" t="s">
        <v>600</v>
      </c>
      <c r="B1191" s="344"/>
      <c r="C1191" s="343"/>
      <c r="D1191" s="227" t="s">
        <v>240</v>
      </c>
      <c r="E1191" s="201">
        <v>11.2</v>
      </c>
      <c r="F1191" s="201">
        <v>13.5</v>
      </c>
      <c r="G1191" s="201">
        <v>12.1</v>
      </c>
      <c r="H1191" s="202">
        <f>G1191*4+F1191*9+E1191*4</f>
        <v>214.7</v>
      </c>
      <c r="I1191" s="263">
        <v>0.3</v>
      </c>
      <c r="J1191" s="288"/>
      <c r="K1191" s="1"/>
    </row>
    <row r="1192" spans="1:11" ht="46.5" customHeight="1">
      <c r="A1192" s="326" t="s">
        <v>596</v>
      </c>
      <c r="B1192" s="435">
        <v>172</v>
      </c>
      <c r="C1192" s="167">
        <v>74</v>
      </c>
      <c r="D1192" s="286"/>
      <c r="E1192" s="287"/>
      <c r="F1192" s="287"/>
      <c r="G1192" s="287"/>
      <c r="H1192" s="290"/>
      <c r="I1192" s="288"/>
      <c r="J1192" s="288"/>
      <c r="K1192" s="1"/>
    </row>
    <row r="1193" spans="1:11" ht="38.25" customHeight="1">
      <c r="A1193" s="324" t="s">
        <v>420</v>
      </c>
      <c r="B1193" s="435">
        <v>99</v>
      </c>
      <c r="C1193" s="167">
        <v>74</v>
      </c>
      <c r="D1193" s="286"/>
      <c r="E1193" s="287"/>
      <c r="F1193" s="287"/>
      <c r="G1193" s="287"/>
      <c r="H1193" s="290"/>
      <c r="I1193" s="288"/>
      <c r="J1193" s="288"/>
      <c r="K1193" s="1"/>
    </row>
    <row r="1194" spans="1:11" ht="42.75" customHeight="1">
      <c r="A1194" s="324" t="s">
        <v>400</v>
      </c>
      <c r="B1194" s="328">
        <v>74</v>
      </c>
      <c r="C1194" s="167">
        <v>74</v>
      </c>
      <c r="D1194" s="270"/>
      <c r="E1194" s="271"/>
      <c r="F1194" s="271"/>
      <c r="G1194" s="271"/>
      <c r="H1194" s="272"/>
      <c r="I1194" s="273"/>
      <c r="J1194" s="273"/>
      <c r="K1194" s="1"/>
    </row>
    <row r="1195" spans="1:11" ht="28.5" customHeight="1">
      <c r="A1195" s="269" t="s">
        <v>597</v>
      </c>
      <c r="B1195" s="270">
        <v>6</v>
      </c>
      <c r="C1195" s="272">
        <v>6</v>
      </c>
      <c r="D1195" s="227"/>
      <c r="E1195" s="201"/>
      <c r="F1195" s="201"/>
      <c r="G1195" s="201"/>
      <c r="H1195" s="202"/>
      <c r="I1195" s="263"/>
      <c r="J1195" s="263" t="s">
        <v>444</v>
      </c>
      <c r="K1195" s="1"/>
    </row>
    <row r="1196" spans="1:14" ht="25.5" customHeight="1">
      <c r="A1196" s="452" t="s">
        <v>162</v>
      </c>
      <c r="B1196" s="453">
        <v>5</v>
      </c>
      <c r="C1196" s="454">
        <v>5</v>
      </c>
      <c r="D1196" s="265"/>
      <c r="E1196" s="266"/>
      <c r="F1196" s="266"/>
      <c r="G1196" s="266"/>
      <c r="H1196" s="167"/>
      <c r="I1196" s="267"/>
      <c r="J1196" s="267"/>
      <c r="K1196" s="10"/>
      <c r="N1196" s="84"/>
    </row>
    <row r="1197" spans="1:14" ht="19.5" customHeight="1">
      <c r="A1197" s="452" t="s">
        <v>598</v>
      </c>
      <c r="B1197" s="281">
        <v>3</v>
      </c>
      <c r="C1197" s="167">
        <v>3</v>
      </c>
      <c r="D1197" s="265"/>
      <c r="E1197" s="266"/>
      <c r="F1197" s="266"/>
      <c r="G1197" s="266"/>
      <c r="H1197" s="167"/>
      <c r="I1197" s="267"/>
      <c r="J1197" s="267"/>
      <c r="K1197" s="46"/>
      <c r="N1197" s="84"/>
    </row>
    <row r="1198" spans="1:14" ht="10.5" customHeight="1">
      <c r="A1198" s="269" t="s">
        <v>29</v>
      </c>
      <c r="B1198" s="453">
        <v>7</v>
      </c>
      <c r="C1198" s="454">
        <v>7</v>
      </c>
      <c r="D1198" s="265"/>
      <c r="E1198" s="266"/>
      <c r="F1198" s="266"/>
      <c r="G1198" s="266"/>
      <c r="H1198" s="167"/>
      <c r="I1198" s="267"/>
      <c r="J1198" s="267"/>
      <c r="K1198" s="13"/>
      <c r="N1198" s="84"/>
    </row>
    <row r="1199" spans="1:14" ht="12" customHeight="1">
      <c r="A1199" s="269" t="s">
        <v>599</v>
      </c>
      <c r="B1199" s="453">
        <v>22</v>
      </c>
      <c r="C1199" s="454">
        <v>22</v>
      </c>
      <c r="D1199" s="265"/>
      <c r="E1199" s="266"/>
      <c r="F1199" s="266"/>
      <c r="G1199" s="266"/>
      <c r="H1199" s="167"/>
      <c r="I1199" s="267"/>
      <c r="J1199" s="267"/>
      <c r="K1199" s="13"/>
      <c r="N1199" s="84"/>
    </row>
    <row r="1200" spans="1:36" s="18" customFormat="1" ht="21.75" customHeight="1">
      <c r="A1200" s="269" t="s">
        <v>13</v>
      </c>
      <c r="B1200" s="453">
        <v>5</v>
      </c>
      <c r="C1200" s="454">
        <v>5</v>
      </c>
      <c r="D1200" s="270"/>
      <c r="E1200" s="271"/>
      <c r="F1200" s="271"/>
      <c r="G1200" s="271"/>
      <c r="H1200" s="272"/>
      <c r="I1200" s="273"/>
      <c r="J1200" s="273"/>
      <c r="K1200" s="14"/>
      <c r="L1200" s="29"/>
      <c r="M1200" s="82"/>
      <c r="N1200" s="8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</row>
    <row r="1201" spans="1:36" s="18" customFormat="1" ht="30.75" customHeight="1">
      <c r="A1201" s="506" t="s">
        <v>534</v>
      </c>
      <c r="B1201" s="506"/>
      <c r="C1201" s="506"/>
      <c r="D1201" s="227">
        <v>200</v>
      </c>
      <c r="E1201" s="201">
        <v>3.8</v>
      </c>
      <c r="F1201" s="201">
        <v>4</v>
      </c>
      <c r="G1201" s="201">
        <v>17</v>
      </c>
      <c r="H1201" s="202">
        <f>E1201*4+F1201*9+G1201*4</f>
        <v>119.2</v>
      </c>
      <c r="I1201" s="263">
        <v>33.36</v>
      </c>
      <c r="J1201" s="284"/>
      <c r="K1201" s="14"/>
      <c r="L1201" s="29"/>
      <c r="M1201" s="82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</row>
    <row r="1202" spans="1:36" s="18" customFormat="1" ht="34.5" customHeight="1">
      <c r="A1202" s="304" t="s">
        <v>45</v>
      </c>
      <c r="B1202" s="167">
        <f>C1202*1.25</f>
        <v>256.25</v>
      </c>
      <c r="C1202" s="167">
        <v>205</v>
      </c>
      <c r="D1202" s="227"/>
      <c r="E1202" s="201"/>
      <c r="F1202" s="201"/>
      <c r="G1202" s="201"/>
      <c r="H1202" s="201"/>
      <c r="I1202" s="263"/>
      <c r="J1202" s="284"/>
      <c r="K1202" s="10"/>
      <c r="L1202" s="29"/>
      <c r="M1202" s="82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</row>
    <row r="1203" spans="1:11" ht="38.25" customHeight="1">
      <c r="A1203" s="264" t="s">
        <v>25</v>
      </c>
      <c r="B1203" s="167">
        <f>C1203*1.25</f>
        <v>30</v>
      </c>
      <c r="C1203" s="167">
        <v>24</v>
      </c>
      <c r="D1203" s="227"/>
      <c r="E1203" s="201"/>
      <c r="F1203" s="201"/>
      <c r="G1203" s="201"/>
      <c r="H1203" s="265"/>
      <c r="I1203" s="267"/>
      <c r="J1203" s="284"/>
      <c r="K1203" s="13"/>
    </row>
    <row r="1204" spans="1:11" ht="40.5" customHeight="1">
      <c r="A1204" s="264" t="s">
        <v>19</v>
      </c>
      <c r="B1204" s="167">
        <f>C1204*1.33</f>
        <v>31.92</v>
      </c>
      <c r="C1204" s="167">
        <v>24</v>
      </c>
      <c r="D1204" s="227"/>
      <c r="E1204" s="201"/>
      <c r="F1204" s="201"/>
      <c r="G1204" s="201"/>
      <c r="H1204" s="227"/>
      <c r="I1204" s="263"/>
      <c r="J1204" s="284"/>
      <c r="K1204" s="13"/>
    </row>
    <row r="1205" spans="1:36" s="18" customFormat="1" ht="32.25" customHeight="1">
      <c r="A1205" s="264" t="s">
        <v>26</v>
      </c>
      <c r="B1205" s="167">
        <f>C1205*1.19</f>
        <v>14.28</v>
      </c>
      <c r="C1205" s="167">
        <v>12</v>
      </c>
      <c r="D1205" s="227"/>
      <c r="E1205" s="201"/>
      <c r="F1205" s="266"/>
      <c r="G1205" s="266"/>
      <c r="H1205" s="265"/>
      <c r="I1205" s="267"/>
      <c r="J1205" s="263" t="s">
        <v>334</v>
      </c>
      <c r="K1205" s="43"/>
      <c r="L1205" s="29"/>
      <c r="M1205" s="82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</row>
    <row r="1206" spans="1:36" s="18" customFormat="1" ht="26.25" customHeight="1">
      <c r="A1206" s="264" t="s">
        <v>27</v>
      </c>
      <c r="B1206" s="167">
        <v>6</v>
      </c>
      <c r="C1206" s="167">
        <v>6</v>
      </c>
      <c r="D1206" s="227"/>
      <c r="E1206" s="201"/>
      <c r="F1206" s="266"/>
      <c r="G1206" s="266"/>
      <c r="H1206" s="265"/>
      <c r="I1206" s="267"/>
      <c r="J1206" s="263"/>
      <c r="K1206" s="10"/>
      <c r="L1206" s="29"/>
      <c r="M1206" s="82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</row>
    <row r="1207" spans="1:36" s="18" customFormat="1" ht="27.75" customHeight="1">
      <c r="A1207" s="264" t="s">
        <v>93</v>
      </c>
      <c r="B1207" s="167">
        <v>8</v>
      </c>
      <c r="C1207" s="167">
        <v>8</v>
      </c>
      <c r="D1207" s="227"/>
      <c r="E1207" s="201"/>
      <c r="F1207" s="266"/>
      <c r="G1207" s="266"/>
      <c r="H1207" s="265"/>
      <c r="I1207" s="267"/>
      <c r="J1207" s="267"/>
      <c r="K1207" s="10"/>
      <c r="L1207" s="29"/>
      <c r="M1207" s="82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</row>
    <row r="1208" spans="1:36" s="18" customFormat="1" ht="49.5" customHeight="1">
      <c r="A1208" s="298" t="s">
        <v>294</v>
      </c>
      <c r="B1208" s="290">
        <v>5</v>
      </c>
      <c r="C1208" s="290">
        <v>5</v>
      </c>
      <c r="D1208" s="227"/>
      <c r="E1208" s="287"/>
      <c r="F1208" s="287"/>
      <c r="G1208" s="287"/>
      <c r="H1208" s="290"/>
      <c r="I1208" s="288"/>
      <c r="J1208" s="263"/>
      <c r="K1208" s="45"/>
      <c r="L1208" s="29"/>
      <c r="M1208" s="82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</row>
    <row r="1209" spans="1:36" s="18" customFormat="1" ht="35.25" customHeight="1">
      <c r="A1209" s="264" t="s">
        <v>28</v>
      </c>
      <c r="B1209" s="167">
        <v>3</v>
      </c>
      <c r="C1209" s="167">
        <v>3</v>
      </c>
      <c r="D1209" s="227"/>
      <c r="E1209" s="201"/>
      <c r="F1209" s="266"/>
      <c r="G1209" s="266"/>
      <c r="H1209" s="265"/>
      <c r="I1209" s="267"/>
      <c r="J1209" s="267"/>
      <c r="K1209" s="8"/>
      <c r="L1209" s="29"/>
      <c r="M1209" s="82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</row>
    <row r="1210" spans="1:36" s="18" customFormat="1" ht="42.75" customHeight="1">
      <c r="A1210" s="269" t="s">
        <v>108</v>
      </c>
      <c r="B1210" s="272">
        <v>15</v>
      </c>
      <c r="C1210" s="272">
        <v>15</v>
      </c>
      <c r="D1210" s="227"/>
      <c r="E1210" s="36"/>
      <c r="F1210" s="271"/>
      <c r="G1210" s="271"/>
      <c r="H1210" s="271"/>
      <c r="I1210" s="273"/>
      <c r="J1210" s="267"/>
      <c r="K1210" s="64"/>
      <c r="L1210" s="29"/>
      <c r="M1210" s="82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</row>
    <row r="1211" spans="1:36" s="18" customFormat="1" ht="24.75" customHeight="1">
      <c r="A1211" s="501" t="s">
        <v>99</v>
      </c>
      <c r="B1211" s="501"/>
      <c r="C1211" s="501"/>
      <c r="D1211" s="113">
        <v>200</v>
      </c>
      <c r="E1211" s="334">
        <v>0.7</v>
      </c>
      <c r="F1211" s="334">
        <v>0.4</v>
      </c>
      <c r="G1211" s="334">
        <v>22</v>
      </c>
      <c r="H1211" s="75">
        <f>E1211*4+F1211*9+G1211*4</f>
        <v>94.4</v>
      </c>
      <c r="I1211" s="192">
        <v>85</v>
      </c>
      <c r="J1211" s="267"/>
      <c r="K1211" s="14"/>
      <c r="L1211" s="29"/>
      <c r="M1211" s="82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</row>
    <row r="1212" spans="1:36" s="18" customFormat="1" ht="24.75" customHeight="1">
      <c r="A1212" s="269" t="s">
        <v>104</v>
      </c>
      <c r="B1212" s="270">
        <v>25</v>
      </c>
      <c r="C1212" s="270">
        <v>25</v>
      </c>
      <c r="D1212" s="314"/>
      <c r="E1212" s="334"/>
      <c r="F1212" s="334"/>
      <c r="G1212" s="334"/>
      <c r="H1212" s="75"/>
      <c r="I1212" s="192"/>
      <c r="J1212" s="288"/>
      <c r="K1212" s="14"/>
      <c r="L1212" s="29"/>
      <c r="M1212" s="82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</row>
    <row r="1213" spans="1:36" s="18" customFormat="1" ht="42" customHeight="1">
      <c r="A1213" s="285" t="s">
        <v>12</v>
      </c>
      <c r="B1213" s="396">
        <v>5</v>
      </c>
      <c r="C1213" s="396">
        <v>5</v>
      </c>
      <c r="D1213" s="389"/>
      <c r="E1213" s="397"/>
      <c r="F1213" s="397"/>
      <c r="G1213" s="397"/>
      <c r="H1213" s="397"/>
      <c r="I1213" s="398"/>
      <c r="J1213" s="267"/>
      <c r="K1213" s="14"/>
      <c r="L1213" s="29"/>
      <c r="M1213" s="82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</row>
    <row r="1214" spans="1:36" s="18" customFormat="1" ht="24.75" customHeight="1">
      <c r="A1214" s="501" t="s">
        <v>267</v>
      </c>
      <c r="B1214" s="501"/>
      <c r="C1214" s="501"/>
      <c r="D1214" s="113">
        <v>100</v>
      </c>
      <c r="E1214" s="36">
        <v>8.2</v>
      </c>
      <c r="F1214" s="36">
        <v>1.4</v>
      </c>
      <c r="G1214" s="36">
        <v>38</v>
      </c>
      <c r="H1214" s="75">
        <f>E1214*4+F1214*9+G1214*4</f>
        <v>197.4</v>
      </c>
      <c r="I1214" s="192">
        <v>0</v>
      </c>
      <c r="J1214" s="273"/>
      <c r="K1214" s="14"/>
      <c r="L1214" s="29"/>
      <c r="M1214" s="82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</row>
    <row r="1215" spans="1:36" s="18" customFormat="1" ht="24.75" customHeight="1">
      <c r="A1215" s="506" t="s">
        <v>70</v>
      </c>
      <c r="B1215" s="506"/>
      <c r="C1215" s="506"/>
      <c r="D1215" s="227">
        <v>70</v>
      </c>
      <c r="E1215" s="201">
        <v>4.62</v>
      </c>
      <c r="F1215" s="201">
        <v>0.84</v>
      </c>
      <c r="G1215" s="201">
        <v>23.38</v>
      </c>
      <c r="H1215" s="202">
        <v>119</v>
      </c>
      <c r="I1215" s="263">
        <v>0</v>
      </c>
      <c r="J1215" s="395" t="s">
        <v>470</v>
      </c>
      <c r="K1215" s="14"/>
      <c r="L1215" s="29"/>
      <c r="M1215" s="82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</row>
    <row r="1216" spans="1:11" ht="24.75" customHeight="1">
      <c r="A1216" s="113" t="s">
        <v>59</v>
      </c>
      <c r="B1216" s="113"/>
      <c r="C1216" s="113"/>
      <c r="D1216" s="113"/>
      <c r="E1216" s="36">
        <f>E1217+E1227</f>
        <v>2.7</v>
      </c>
      <c r="F1216" s="36">
        <f>F1217+F1227</f>
        <v>4.1</v>
      </c>
      <c r="G1216" s="36">
        <f>G1217+G1227</f>
        <v>60</v>
      </c>
      <c r="H1216" s="75">
        <f>H1217+H1227</f>
        <v>287.70000000000005</v>
      </c>
      <c r="I1216" s="192">
        <f>I1217+I1227</f>
        <v>19.01</v>
      </c>
      <c r="J1216" s="192"/>
      <c r="K1216" s="14"/>
    </row>
    <row r="1217" spans="1:36" s="18" customFormat="1" ht="24.75" customHeight="1">
      <c r="A1217" s="501" t="s">
        <v>106</v>
      </c>
      <c r="B1217" s="501"/>
      <c r="C1217" s="501"/>
      <c r="D1217" s="113">
        <v>90</v>
      </c>
      <c r="E1217" s="36">
        <v>2.6</v>
      </c>
      <c r="F1217" s="36">
        <v>4.1</v>
      </c>
      <c r="G1217" s="36">
        <v>38</v>
      </c>
      <c r="H1217" s="75">
        <f>E1217*4+F1217*9+G1217*4</f>
        <v>199.3</v>
      </c>
      <c r="I1217" s="192">
        <v>0.01</v>
      </c>
      <c r="J1217" s="398"/>
      <c r="K1217" s="14"/>
      <c r="L1217" s="29"/>
      <c r="M1217" s="82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</row>
    <row r="1218" spans="1:11" ht="24.75" customHeight="1">
      <c r="A1218" s="316" t="s">
        <v>28</v>
      </c>
      <c r="B1218" s="317">
        <v>20</v>
      </c>
      <c r="C1218" s="317">
        <v>20</v>
      </c>
      <c r="D1218" s="113"/>
      <c r="E1218" s="36"/>
      <c r="F1218" s="36"/>
      <c r="G1218" s="36"/>
      <c r="H1218" s="75"/>
      <c r="I1218" s="192"/>
      <c r="J1218" s="192"/>
      <c r="K1218" s="14"/>
    </row>
    <row r="1219" spans="1:36" s="18" customFormat="1" ht="24.75" customHeight="1">
      <c r="A1219" s="316" t="s">
        <v>35</v>
      </c>
      <c r="B1219" s="317">
        <v>20</v>
      </c>
      <c r="C1219" s="317">
        <v>20</v>
      </c>
      <c r="D1219" s="113"/>
      <c r="E1219" s="36"/>
      <c r="F1219" s="36"/>
      <c r="G1219" s="36"/>
      <c r="H1219" s="75"/>
      <c r="I1219" s="192"/>
      <c r="J1219" s="263"/>
      <c r="K1219" s="14"/>
      <c r="L1219" s="29"/>
      <c r="M1219" s="82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</row>
    <row r="1220" spans="1:36" s="18" customFormat="1" ht="24.75" customHeight="1">
      <c r="A1220" s="316" t="s">
        <v>12</v>
      </c>
      <c r="B1220" s="317">
        <v>18</v>
      </c>
      <c r="C1220" s="317">
        <v>18</v>
      </c>
      <c r="D1220" s="113"/>
      <c r="E1220" s="36"/>
      <c r="F1220" s="36"/>
      <c r="G1220" s="36"/>
      <c r="H1220" s="75"/>
      <c r="I1220" s="192"/>
      <c r="J1220" s="36"/>
      <c r="K1220" s="14"/>
      <c r="L1220" s="29"/>
      <c r="M1220" s="82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</row>
    <row r="1221" spans="1:36" s="18" customFormat="1" ht="24.75" customHeight="1">
      <c r="A1221" s="291" t="s">
        <v>27</v>
      </c>
      <c r="B1221" s="329">
        <v>5</v>
      </c>
      <c r="C1221" s="329">
        <v>5</v>
      </c>
      <c r="D1221" s="113"/>
      <c r="E1221" s="36"/>
      <c r="F1221" s="36"/>
      <c r="G1221" s="367"/>
      <c r="H1221" s="329"/>
      <c r="I1221" s="318"/>
      <c r="J1221" s="192" t="s">
        <v>334</v>
      </c>
      <c r="K1221" s="14"/>
      <c r="L1221" s="29"/>
      <c r="M1221" s="82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</row>
    <row r="1222" spans="1:36" s="18" customFormat="1" ht="24.75" customHeight="1">
      <c r="A1222" s="269" t="s">
        <v>93</v>
      </c>
      <c r="B1222" s="329">
        <v>20</v>
      </c>
      <c r="C1222" s="329">
        <v>20</v>
      </c>
      <c r="D1222" s="113"/>
      <c r="E1222" s="36"/>
      <c r="F1222" s="36"/>
      <c r="G1222" s="367"/>
      <c r="H1222" s="329"/>
      <c r="I1222" s="318"/>
      <c r="J1222" s="192"/>
      <c r="K1222" s="14"/>
      <c r="L1222" s="29"/>
      <c r="M1222" s="82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</row>
    <row r="1223" spans="1:36" s="18" customFormat="1" ht="24.75" customHeight="1">
      <c r="A1223" s="269" t="s">
        <v>29</v>
      </c>
      <c r="B1223" s="329">
        <v>19.8</v>
      </c>
      <c r="C1223" s="329">
        <v>19.8</v>
      </c>
      <c r="D1223" s="113"/>
      <c r="E1223" s="36"/>
      <c r="F1223" s="36"/>
      <c r="G1223" s="367"/>
      <c r="H1223" s="329"/>
      <c r="I1223" s="318"/>
      <c r="J1223" s="192"/>
      <c r="K1223" s="10"/>
      <c r="L1223" s="29"/>
      <c r="M1223" s="82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</row>
    <row r="1224" spans="1:36" s="18" customFormat="1" ht="24.75" customHeight="1">
      <c r="A1224" s="285" t="s">
        <v>535</v>
      </c>
      <c r="B1224" s="329">
        <v>1</v>
      </c>
      <c r="C1224" s="329">
        <v>1</v>
      </c>
      <c r="D1224" s="113"/>
      <c r="E1224" s="36"/>
      <c r="F1224" s="36"/>
      <c r="G1224" s="367"/>
      <c r="H1224" s="329"/>
      <c r="I1224" s="318"/>
      <c r="J1224" s="192"/>
      <c r="K1224" s="10"/>
      <c r="L1224" s="29"/>
      <c r="M1224" s="82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</row>
    <row r="1225" spans="1:10" ht="24.75" customHeight="1">
      <c r="A1225" s="285" t="s">
        <v>103</v>
      </c>
      <c r="B1225" s="329">
        <v>3</v>
      </c>
      <c r="C1225" s="329">
        <v>3</v>
      </c>
      <c r="D1225" s="113"/>
      <c r="E1225" s="36"/>
      <c r="F1225" s="36"/>
      <c r="G1225" s="367"/>
      <c r="H1225" s="329"/>
      <c r="I1225" s="318"/>
      <c r="J1225" s="318"/>
    </row>
    <row r="1226" spans="1:36" s="18" customFormat="1" ht="33" customHeight="1">
      <c r="A1226" s="276" t="s">
        <v>117</v>
      </c>
      <c r="B1226" s="287">
        <v>0.5</v>
      </c>
      <c r="C1226" s="287">
        <v>0.5</v>
      </c>
      <c r="D1226" s="113"/>
      <c r="E1226" s="36"/>
      <c r="F1226" s="367"/>
      <c r="G1226" s="367"/>
      <c r="H1226" s="329"/>
      <c r="I1226" s="318"/>
      <c r="J1226" s="318"/>
      <c r="K1226" s="64"/>
      <c r="L1226" s="29"/>
      <c r="M1226" s="82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</row>
    <row r="1227" spans="1:36" s="18" customFormat="1" ht="106.5" customHeight="1">
      <c r="A1227" s="483" t="s">
        <v>487</v>
      </c>
      <c r="B1227" s="483"/>
      <c r="C1227" s="483"/>
      <c r="D1227" s="227">
        <v>200</v>
      </c>
      <c r="E1227" s="201">
        <v>0.1</v>
      </c>
      <c r="F1227" s="201">
        <v>0</v>
      </c>
      <c r="G1227" s="201">
        <v>22</v>
      </c>
      <c r="H1227" s="202">
        <f>E1227*4+F1227*9+G1227*4</f>
        <v>88.4</v>
      </c>
      <c r="I1227" s="263">
        <v>19</v>
      </c>
      <c r="J1227" s="318"/>
      <c r="K1227" s="64"/>
      <c r="L1227" s="29"/>
      <c r="M1227" s="82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</row>
    <row r="1228" spans="1:10" ht="24.75" customHeight="1">
      <c r="A1228" s="113" t="s">
        <v>30</v>
      </c>
      <c r="B1228" s="113"/>
      <c r="C1228" s="113"/>
      <c r="D1228" s="113"/>
      <c r="E1228" s="36">
        <f>SUM(E1229:E1255)</f>
        <v>23.439999999999998</v>
      </c>
      <c r="F1228" s="36">
        <f>SUM(F1229:F1255)</f>
        <v>22.78</v>
      </c>
      <c r="G1228" s="36">
        <f>SUM(G1229:G1255)</f>
        <v>86.66</v>
      </c>
      <c r="H1228" s="36">
        <f>SUM(H1229:H1255)</f>
        <v>645.22</v>
      </c>
      <c r="I1228" s="192">
        <f>SUM(I1229:I1255)</f>
        <v>52.46999999999999</v>
      </c>
      <c r="J1228" s="318"/>
    </row>
    <row r="1229" spans="1:10" ht="24.75" customHeight="1">
      <c r="A1229" s="262" t="s">
        <v>537</v>
      </c>
      <c r="B1229" s="113"/>
      <c r="C1229" s="113"/>
      <c r="D1229" s="227">
        <v>70</v>
      </c>
      <c r="E1229" s="201">
        <v>0.5</v>
      </c>
      <c r="F1229" s="201">
        <v>0</v>
      </c>
      <c r="G1229" s="201">
        <v>5.2</v>
      </c>
      <c r="H1229" s="202">
        <f>E1229*4+F1229*9+G1229*4</f>
        <v>22.8</v>
      </c>
      <c r="I1229" s="263">
        <v>17.15</v>
      </c>
      <c r="J1229" s="318"/>
    </row>
    <row r="1230" spans="1:10" ht="24.75" customHeight="1">
      <c r="A1230" s="264" t="s">
        <v>476</v>
      </c>
      <c r="B1230" s="167">
        <f>C1230*1.02</f>
        <v>71.4</v>
      </c>
      <c r="C1230" s="265">
        <v>70</v>
      </c>
      <c r="D1230" s="227"/>
      <c r="E1230" s="201"/>
      <c r="F1230" s="201"/>
      <c r="G1230" s="201"/>
      <c r="H1230" s="202"/>
      <c r="I1230" s="263"/>
      <c r="J1230" s="318"/>
    </row>
    <row r="1231" spans="1:36" s="18" customFormat="1" ht="72.75" customHeight="1">
      <c r="A1231" s="280" t="s">
        <v>215</v>
      </c>
      <c r="B1231" s="305">
        <f>C1231*1.18</f>
        <v>82.6</v>
      </c>
      <c r="C1231" s="265">
        <v>70</v>
      </c>
      <c r="D1231" s="227"/>
      <c r="E1231" s="201"/>
      <c r="F1231" s="201"/>
      <c r="G1231" s="201"/>
      <c r="H1231" s="202"/>
      <c r="I1231" s="263"/>
      <c r="J1231" s="292" t="s">
        <v>486</v>
      </c>
      <c r="K1231" s="64"/>
      <c r="L1231" s="29"/>
      <c r="M1231" s="82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</row>
    <row r="1232" spans="1:10" ht="24.75" customHeight="1">
      <c r="A1232" s="264" t="s">
        <v>477</v>
      </c>
      <c r="B1232" s="167">
        <f>C1232*1.82</f>
        <v>127.4</v>
      </c>
      <c r="C1232" s="265">
        <v>70</v>
      </c>
      <c r="D1232" s="113"/>
      <c r="E1232" s="36"/>
      <c r="F1232" s="36"/>
      <c r="G1232" s="36"/>
      <c r="H1232" s="75"/>
      <c r="I1232" s="192"/>
      <c r="J1232" s="36"/>
    </row>
    <row r="1233" spans="1:36" s="18" customFormat="1" ht="24.75" customHeight="1">
      <c r="A1233" s="313" t="s">
        <v>536</v>
      </c>
      <c r="B1233" s="455"/>
      <c r="C1233" s="455"/>
      <c r="D1233" s="227">
        <v>100</v>
      </c>
      <c r="E1233" s="201">
        <v>9.1</v>
      </c>
      <c r="F1233" s="201">
        <v>11.1</v>
      </c>
      <c r="G1233" s="201">
        <v>9</v>
      </c>
      <c r="H1233" s="202">
        <f>E1233*4+F1233*9+G1233*4</f>
        <v>172.29999999999998</v>
      </c>
      <c r="I1233" s="263">
        <v>0.05</v>
      </c>
      <c r="J1233" s="263"/>
      <c r="K1233" s="64"/>
      <c r="L1233" s="29"/>
      <c r="M1233" s="82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</row>
    <row r="1234" spans="1:36" s="18" customFormat="1" ht="24.75" customHeight="1">
      <c r="A1234" s="299" t="s">
        <v>60</v>
      </c>
      <c r="B1234" s="301">
        <f>C1234*1.36</f>
        <v>111.52000000000001</v>
      </c>
      <c r="C1234" s="265">
        <v>82</v>
      </c>
      <c r="D1234" s="227"/>
      <c r="E1234" s="201"/>
      <c r="F1234" s="201"/>
      <c r="G1234" s="201"/>
      <c r="H1234" s="202"/>
      <c r="I1234" s="263"/>
      <c r="J1234" s="263"/>
      <c r="K1234" s="64"/>
      <c r="L1234" s="29"/>
      <c r="M1234" s="82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</row>
    <row r="1235" spans="1:36" s="18" customFormat="1" ht="24.75" customHeight="1">
      <c r="A1235" s="302" t="s">
        <v>72</v>
      </c>
      <c r="B1235" s="435">
        <f>C1235*1.18</f>
        <v>96.75999999999999</v>
      </c>
      <c r="C1235" s="265">
        <v>82</v>
      </c>
      <c r="D1235" s="227"/>
      <c r="E1235" s="201"/>
      <c r="F1235" s="201"/>
      <c r="G1235" s="201"/>
      <c r="H1235" s="75"/>
      <c r="I1235" s="192"/>
      <c r="J1235" s="263"/>
      <c r="K1235" s="158"/>
      <c r="L1235" s="29"/>
      <c r="M1235" s="82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</row>
    <row r="1236" spans="1:36" s="18" customFormat="1" ht="24.75" customHeight="1">
      <c r="A1236" s="303" t="s">
        <v>400</v>
      </c>
      <c r="B1236" s="435">
        <f>C1235</f>
        <v>82</v>
      </c>
      <c r="C1236" s="265">
        <v>82</v>
      </c>
      <c r="D1236" s="227"/>
      <c r="E1236" s="201"/>
      <c r="F1236" s="201"/>
      <c r="G1236" s="201"/>
      <c r="H1236" s="75"/>
      <c r="I1236" s="192"/>
      <c r="J1236" s="263"/>
      <c r="K1236" s="64"/>
      <c r="L1236" s="29"/>
      <c r="M1236" s="82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</row>
    <row r="1237" spans="1:13" s="108" customFormat="1" ht="24.75" customHeight="1">
      <c r="A1237" s="269" t="s">
        <v>36</v>
      </c>
      <c r="B1237" s="270">
        <v>10</v>
      </c>
      <c r="C1237" s="270">
        <v>10</v>
      </c>
      <c r="D1237" s="227"/>
      <c r="E1237" s="36"/>
      <c r="F1237" s="36"/>
      <c r="G1237" s="36"/>
      <c r="H1237" s="75"/>
      <c r="I1237" s="192"/>
      <c r="J1237" s="263" t="s">
        <v>445</v>
      </c>
      <c r="K1237" s="64"/>
      <c r="L1237" s="96"/>
      <c r="M1237" s="107"/>
    </row>
    <row r="1238" spans="1:36" s="18" customFormat="1" ht="24.75" customHeight="1">
      <c r="A1238" s="327" t="s">
        <v>580</v>
      </c>
      <c r="B1238" s="265">
        <v>18</v>
      </c>
      <c r="C1238" s="265">
        <v>18</v>
      </c>
      <c r="D1238" s="227"/>
      <c r="E1238" s="201"/>
      <c r="F1238" s="201"/>
      <c r="G1238" s="201"/>
      <c r="H1238" s="202"/>
      <c r="I1238" s="263"/>
      <c r="J1238" s="263"/>
      <c r="K1238" s="64"/>
      <c r="L1238" s="29"/>
      <c r="M1238" s="82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</row>
    <row r="1239" spans="1:10" ht="24.75" customHeight="1">
      <c r="A1239" s="285" t="s">
        <v>26</v>
      </c>
      <c r="B1239" s="272">
        <f>C1239*1.19</f>
        <v>7.14</v>
      </c>
      <c r="C1239" s="270">
        <v>6</v>
      </c>
      <c r="D1239" s="227"/>
      <c r="E1239" s="36"/>
      <c r="F1239" s="36"/>
      <c r="G1239" s="36"/>
      <c r="H1239" s="75"/>
      <c r="I1239" s="192"/>
      <c r="J1239" s="192"/>
    </row>
    <row r="1240" spans="1:36" s="18" customFormat="1" ht="24.75" customHeight="1">
      <c r="A1240" s="285" t="s">
        <v>162</v>
      </c>
      <c r="B1240" s="265">
        <v>10</v>
      </c>
      <c r="C1240" s="265">
        <v>10</v>
      </c>
      <c r="D1240" s="227"/>
      <c r="E1240" s="201"/>
      <c r="F1240" s="201"/>
      <c r="G1240" s="201"/>
      <c r="H1240" s="202"/>
      <c r="I1240" s="263"/>
      <c r="J1240" s="192"/>
      <c r="K1240" s="64"/>
      <c r="L1240" s="29"/>
      <c r="M1240" s="82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</row>
    <row r="1241" spans="1:36" s="18" customFormat="1" ht="24.75" customHeight="1">
      <c r="A1241" s="269" t="s">
        <v>20</v>
      </c>
      <c r="B1241" s="270">
        <v>6</v>
      </c>
      <c r="C1241" s="270">
        <v>6</v>
      </c>
      <c r="D1241" s="113"/>
      <c r="E1241" s="36"/>
      <c r="F1241" s="36"/>
      <c r="G1241" s="36"/>
      <c r="H1241" s="75"/>
      <c r="I1241" s="192"/>
      <c r="J1241" s="192"/>
      <c r="K1241" s="64"/>
      <c r="L1241" s="29"/>
      <c r="M1241" s="82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</row>
    <row r="1242" spans="1:36" s="18" customFormat="1" ht="24.75" customHeight="1">
      <c r="A1242" s="501" t="s">
        <v>48</v>
      </c>
      <c r="B1242" s="501"/>
      <c r="C1242" s="501"/>
      <c r="D1242" s="113">
        <v>200</v>
      </c>
      <c r="E1242" s="36">
        <v>4.3</v>
      </c>
      <c r="F1242" s="36">
        <v>6</v>
      </c>
      <c r="G1242" s="36">
        <v>28.8</v>
      </c>
      <c r="H1242" s="75">
        <f>E1242*4+F1242*9+G1242*4</f>
        <v>186.4</v>
      </c>
      <c r="I1242" s="192">
        <v>33.9</v>
      </c>
      <c r="J1242" s="263"/>
      <c r="K1242" s="64"/>
      <c r="L1242" s="29"/>
      <c r="M1242" s="82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</row>
    <row r="1243" spans="1:10" ht="24.75" customHeight="1">
      <c r="A1243" s="280" t="s">
        <v>21</v>
      </c>
      <c r="B1243" s="290">
        <f>C1243*1.33</f>
        <v>227.1230769230769</v>
      </c>
      <c r="C1243" s="272">
        <v>170.76923076923075</v>
      </c>
      <c r="D1243" s="281"/>
      <c r="E1243" s="283"/>
      <c r="F1243" s="283"/>
      <c r="G1243" s="283"/>
      <c r="H1243" s="281"/>
      <c r="I1243" s="284"/>
      <c r="J1243" s="192"/>
    </row>
    <row r="1244" spans="1:10" ht="24.75" customHeight="1">
      <c r="A1244" s="269" t="s">
        <v>22</v>
      </c>
      <c r="B1244" s="290">
        <f>C1244*1.43</f>
        <v>244.19999999999996</v>
      </c>
      <c r="C1244" s="272">
        <v>170.76923076923075</v>
      </c>
      <c r="D1244" s="272"/>
      <c r="E1244" s="271"/>
      <c r="F1244" s="271"/>
      <c r="G1244" s="271"/>
      <c r="H1244" s="272"/>
      <c r="I1244" s="273"/>
      <c r="J1244" s="263"/>
    </row>
    <row r="1245" spans="1:10" ht="24.75" customHeight="1">
      <c r="A1245" s="285" t="s">
        <v>23</v>
      </c>
      <c r="B1245" s="290">
        <f>C1245*1.54</f>
        <v>262.9846153846154</v>
      </c>
      <c r="C1245" s="272">
        <v>170.76923076923075</v>
      </c>
      <c r="D1245" s="272"/>
      <c r="E1245" s="271"/>
      <c r="F1245" s="271"/>
      <c r="G1245" s="271"/>
      <c r="H1245" s="272"/>
      <c r="I1245" s="273"/>
      <c r="J1245" s="192"/>
    </row>
    <row r="1246" spans="1:36" s="18" customFormat="1" ht="24.75" customHeight="1">
      <c r="A1246" s="285" t="s">
        <v>24</v>
      </c>
      <c r="B1246" s="290">
        <f>C1246*1.67</f>
        <v>285.1846153846153</v>
      </c>
      <c r="C1246" s="272">
        <v>170.76923076923075</v>
      </c>
      <c r="D1246" s="272"/>
      <c r="E1246" s="271"/>
      <c r="F1246" s="271"/>
      <c r="G1246" s="271"/>
      <c r="H1246" s="272"/>
      <c r="I1246" s="273"/>
      <c r="J1246" s="263" t="s">
        <v>356</v>
      </c>
      <c r="K1246" s="64"/>
      <c r="L1246" s="29"/>
      <c r="M1246" s="82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</row>
    <row r="1247" spans="1:10" ht="24.75" customHeight="1">
      <c r="A1247" s="280" t="s">
        <v>148</v>
      </c>
      <c r="B1247" s="167">
        <v>32</v>
      </c>
      <c r="C1247" s="167">
        <v>32</v>
      </c>
      <c r="D1247" s="167"/>
      <c r="E1247" s="266"/>
      <c r="F1247" s="266"/>
      <c r="G1247" s="266"/>
      <c r="H1247" s="167"/>
      <c r="I1247" s="267"/>
      <c r="J1247" s="284"/>
    </row>
    <row r="1248" spans="1:36" s="18" customFormat="1" ht="24.75" customHeight="1">
      <c r="A1248" s="269" t="s">
        <v>27</v>
      </c>
      <c r="B1248" s="272">
        <v>5</v>
      </c>
      <c r="C1248" s="272">
        <v>5</v>
      </c>
      <c r="D1248" s="272"/>
      <c r="E1248" s="271"/>
      <c r="F1248" s="271"/>
      <c r="G1248" s="271"/>
      <c r="H1248" s="272"/>
      <c r="I1248" s="273"/>
      <c r="J1248" s="273"/>
      <c r="K1248" s="64"/>
      <c r="L1248" s="29"/>
      <c r="M1248" s="82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</row>
    <row r="1249" spans="1:36" s="18" customFormat="1" ht="24.75" customHeight="1">
      <c r="A1249" s="501" t="s">
        <v>37</v>
      </c>
      <c r="B1249" s="501"/>
      <c r="C1249" s="501"/>
      <c r="D1249" s="113">
        <v>200</v>
      </c>
      <c r="E1249" s="36">
        <v>0.2</v>
      </c>
      <c r="F1249" s="36">
        <v>0</v>
      </c>
      <c r="G1249" s="36">
        <v>10.9</v>
      </c>
      <c r="H1249" s="75">
        <f>E1249*4+F1249*9+G1249*4</f>
        <v>44.4</v>
      </c>
      <c r="I1249" s="192">
        <v>0</v>
      </c>
      <c r="J1249" s="273"/>
      <c r="K1249" s="64"/>
      <c r="L1249" s="29"/>
      <c r="M1249" s="82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</row>
    <row r="1250" spans="1:10" ht="24.75" customHeight="1">
      <c r="A1250" s="269" t="s">
        <v>16</v>
      </c>
      <c r="B1250" s="270">
        <v>0.4</v>
      </c>
      <c r="C1250" s="270">
        <v>0.4</v>
      </c>
      <c r="D1250" s="270"/>
      <c r="E1250" s="271"/>
      <c r="F1250" s="271"/>
      <c r="G1250" s="271"/>
      <c r="H1250" s="272"/>
      <c r="I1250" s="273"/>
      <c r="J1250" s="273"/>
    </row>
    <row r="1251" spans="1:10" ht="24.75" customHeight="1">
      <c r="A1251" s="269" t="s">
        <v>156</v>
      </c>
      <c r="B1251" s="270">
        <v>12</v>
      </c>
      <c r="C1251" s="270">
        <v>12</v>
      </c>
      <c r="D1251" s="270"/>
      <c r="E1251" s="271"/>
      <c r="F1251" s="271"/>
      <c r="G1251" s="271"/>
      <c r="H1251" s="271"/>
      <c r="I1251" s="273"/>
      <c r="J1251" s="267"/>
    </row>
    <row r="1252" spans="1:10" ht="24.75" customHeight="1">
      <c r="A1252" s="506" t="s">
        <v>70</v>
      </c>
      <c r="B1252" s="506"/>
      <c r="C1252" s="506"/>
      <c r="D1252" s="227">
        <v>40</v>
      </c>
      <c r="E1252" s="201">
        <v>2.64</v>
      </c>
      <c r="F1252" s="201">
        <v>0.48</v>
      </c>
      <c r="G1252" s="201">
        <v>13.36</v>
      </c>
      <c r="H1252" s="202">
        <v>68.32</v>
      </c>
      <c r="I1252" s="263">
        <v>0</v>
      </c>
      <c r="J1252" s="273"/>
    </row>
    <row r="1253" spans="1:36" s="18" customFormat="1" ht="24.75" customHeight="1">
      <c r="A1253" s="501" t="s">
        <v>267</v>
      </c>
      <c r="B1253" s="501"/>
      <c r="C1253" s="501"/>
      <c r="D1253" s="113">
        <v>30</v>
      </c>
      <c r="E1253" s="36">
        <v>2.5</v>
      </c>
      <c r="F1253" s="36">
        <v>0.4</v>
      </c>
      <c r="G1253" s="36">
        <v>11.4</v>
      </c>
      <c r="H1253" s="75">
        <v>59</v>
      </c>
      <c r="I1253" s="192">
        <v>0</v>
      </c>
      <c r="J1253" s="192" t="s">
        <v>344</v>
      </c>
      <c r="K1253" s="64"/>
      <c r="L1253" s="29"/>
      <c r="M1253" s="82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</row>
    <row r="1254" spans="1:36" s="18" customFormat="1" ht="24.75" customHeight="1">
      <c r="A1254" s="426" t="s">
        <v>220</v>
      </c>
      <c r="B1254" s="427"/>
      <c r="C1254" s="427"/>
      <c r="D1254" s="427"/>
      <c r="E1254" s="427"/>
      <c r="F1254" s="427"/>
      <c r="G1254" s="427"/>
      <c r="H1254" s="427"/>
      <c r="I1254" s="427"/>
      <c r="J1254" s="273"/>
      <c r="K1254" s="64"/>
      <c r="L1254" s="29"/>
      <c r="M1254" s="82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</row>
    <row r="1255" spans="1:36" s="18" customFormat="1" ht="24.75" customHeight="1">
      <c r="A1255" s="332" t="s">
        <v>246</v>
      </c>
      <c r="B1255" s="265">
        <v>206</v>
      </c>
      <c r="C1255" s="281">
        <v>200</v>
      </c>
      <c r="D1255" s="227">
        <v>200</v>
      </c>
      <c r="E1255" s="201">
        <v>4.2</v>
      </c>
      <c r="F1255" s="201">
        <v>4.8</v>
      </c>
      <c r="G1255" s="201">
        <v>8</v>
      </c>
      <c r="H1255" s="202">
        <f>E1255*4+F1255*9+G1255*4</f>
        <v>92</v>
      </c>
      <c r="I1255" s="263">
        <v>1.37</v>
      </c>
      <c r="J1255" s="271"/>
      <c r="K1255" s="64"/>
      <c r="L1255" s="29"/>
      <c r="M1255" s="82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</row>
    <row r="1256" spans="1:36" s="18" customFormat="1" ht="24.75" customHeight="1">
      <c r="A1256" s="333" t="s">
        <v>140</v>
      </c>
      <c r="B1256" s="333"/>
      <c r="C1256" s="333"/>
      <c r="D1256" s="333"/>
      <c r="E1256" s="334">
        <f>E1254+E1228+E1216+E1162+E1141+E1160</f>
        <v>67.75999999999999</v>
      </c>
      <c r="F1256" s="334">
        <f>F1254+F1228+F1216+F1162+F1141+F1160</f>
        <v>73.02000000000001</v>
      </c>
      <c r="G1256" s="348">
        <f>G1254+G1228+G1216+G1162+G1141+G1160</f>
        <v>365.53999999999996</v>
      </c>
      <c r="H1256" s="352">
        <f>H1254+H1228+H1216+H1162+H1141+H1160</f>
        <v>2604.32</v>
      </c>
      <c r="I1256" s="386">
        <f>I1254+I1228+I1216+I1162+I1141+I1160</f>
        <v>218.05</v>
      </c>
      <c r="J1256" s="263"/>
      <c r="K1256" s="64"/>
      <c r="L1256" s="29"/>
      <c r="M1256" s="82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</row>
    <row r="1257" spans="1:36" s="18" customFormat="1" ht="24.75" customHeight="1">
      <c r="A1257" s="432" t="s">
        <v>0</v>
      </c>
      <c r="B1257" s="433"/>
      <c r="C1257" s="433"/>
      <c r="D1257" s="433"/>
      <c r="E1257" s="433"/>
      <c r="F1257" s="433"/>
      <c r="G1257" s="433"/>
      <c r="H1257" s="433"/>
      <c r="I1257" s="433"/>
      <c r="J1257" s="192"/>
      <c r="K1257" s="64"/>
      <c r="L1257" s="29"/>
      <c r="M1257" s="82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</row>
    <row r="1258" spans="1:10" ht="24.75" customHeight="1">
      <c r="A1258" s="432" t="s">
        <v>97</v>
      </c>
      <c r="B1258" s="433"/>
      <c r="C1258" s="433"/>
      <c r="D1258" s="433"/>
      <c r="E1258" s="433"/>
      <c r="F1258" s="433"/>
      <c r="G1258" s="433"/>
      <c r="H1258" s="433"/>
      <c r="I1258" s="433"/>
      <c r="J1258" s="428"/>
    </row>
    <row r="1259" spans="1:36" s="18" customFormat="1" ht="57" customHeight="1">
      <c r="A1259" s="498" t="s">
        <v>2</v>
      </c>
      <c r="B1259" s="497" t="s">
        <v>3</v>
      </c>
      <c r="C1259" s="497" t="s">
        <v>4</v>
      </c>
      <c r="D1259" s="498" t="s">
        <v>5</v>
      </c>
      <c r="E1259" s="498"/>
      <c r="F1259" s="498"/>
      <c r="G1259" s="498"/>
      <c r="H1259" s="498"/>
      <c r="I1259" s="498"/>
      <c r="J1259" s="263" t="s">
        <v>364</v>
      </c>
      <c r="K1259" s="64"/>
      <c r="L1259" s="29"/>
      <c r="M1259" s="82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</row>
    <row r="1260" spans="1:13" ht="24.75" customHeight="1" thickBot="1">
      <c r="A1260" s="498"/>
      <c r="B1260" s="497"/>
      <c r="C1260" s="497"/>
      <c r="D1260" s="497" t="s">
        <v>6</v>
      </c>
      <c r="E1260" s="485" t="s">
        <v>7</v>
      </c>
      <c r="F1260" s="485" t="s">
        <v>8</v>
      </c>
      <c r="G1260" s="485" t="s">
        <v>9</v>
      </c>
      <c r="H1260" s="494" t="s">
        <v>10</v>
      </c>
      <c r="I1260" s="527" t="s">
        <v>303</v>
      </c>
      <c r="J1260" s="334"/>
      <c r="L1260" s="115" t="s">
        <v>97</v>
      </c>
      <c r="M1260" s="79"/>
    </row>
    <row r="1261" spans="1:36" s="18" customFormat="1" ht="24.75" customHeight="1">
      <c r="A1261" s="498"/>
      <c r="B1261" s="497"/>
      <c r="C1261" s="497"/>
      <c r="D1261" s="497"/>
      <c r="E1261" s="485"/>
      <c r="F1261" s="485"/>
      <c r="G1261" s="485"/>
      <c r="H1261" s="494"/>
      <c r="I1261" s="527"/>
      <c r="J1261" s="434"/>
      <c r="K1261" s="64"/>
      <c r="L1261" s="42" t="s">
        <v>70</v>
      </c>
      <c r="M1261" s="79">
        <f>D1323+D1355</f>
        <v>110</v>
      </c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</row>
    <row r="1262" spans="1:36" s="18" customFormat="1" ht="24.75" customHeight="1">
      <c r="A1262" s="113" t="s">
        <v>11</v>
      </c>
      <c r="B1262" s="113"/>
      <c r="C1262" s="113"/>
      <c r="D1262" s="113"/>
      <c r="E1262" s="36">
        <f>E1263+E1270+E1274+E1279++E1284</f>
        <v>19.9</v>
      </c>
      <c r="F1262" s="36">
        <f>F1263+F1270+F1274+F1279++F1284</f>
        <v>26.5</v>
      </c>
      <c r="G1262" s="36">
        <f>G1263+G1270+G1274+G1279++G1284</f>
        <v>81.39999999999999</v>
      </c>
      <c r="H1262" s="75">
        <f>H1263+H1270+H1274+H1279++H1284</f>
        <v>639.7</v>
      </c>
      <c r="I1262" s="192">
        <f>I1263+I1270+I1274+I1279++I1284</f>
        <v>21.02</v>
      </c>
      <c r="J1262" s="434"/>
      <c r="K1262" s="64"/>
      <c r="L1262" s="25" t="s">
        <v>80</v>
      </c>
      <c r="M1262" s="79">
        <f>+B1303+D1322+D1356+B1334+C1276+D1325</f>
        <v>263</v>
      </c>
      <c r="N1262" s="84">
        <f>B1303+D1322+B1334+D1356</f>
        <v>143</v>
      </c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</row>
    <row r="1263" spans="1:36" s="18" customFormat="1" ht="24.75" customHeight="1">
      <c r="A1263" s="501" t="s">
        <v>54</v>
      </c>
      <c r="B1263" s="501"/>
      <c r="C1263" s="501"/>
      <c r="D1263" s="113" t="s">
        <v>236</v>
      </c>
      <c r="E1263" s="201">
        <v>6.4</v>
      </c>
      <c r="F1263" s="201">
        <v>9.9</v>
      </c>
      <c r="G1263" s="201">
        <v>31.1</v>
      </c>
      <c r="H1263" s="202">
        <f>E1263*4+F1263*9+G1263*4</f>
        <v>239.10000000000002</v>
      </c>
      <c r="I1263" s="263">
        <v>0.3</v>
      </c>
      <c r="J1263" s="526" t="s">
        <v>302</v>
      </c>
      <c r="K1263" s="64"/>
      <c r="L1263" s="25" t="s">
        <v>81</v>
      </c>
      <c r="M1263" s="79">
        <f>B1313++B1338+B1300</f>
        <v>18.2</v>
      </c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</row>
    <row r="1264" spans="1:36" s="18" customFormat="1" ht="24.75" customHeight="1">
      <c r="A1264" s="269" t="s">
        <v>55</v>
      </c>
      <c r="B1264" s="270">
        <v>30</v>
      </c>
      <c r="C1264" s="270">
        <v>30</v>
      </c>
      <c r="D1264" s="270"/>
      <c r="E1264" s="271"/>
      <c r="F1264" s="271"/>
      <c r="G1264" s="271"/>
      <c r="H1264" s="270"/>
      <c r="I1264" s="273"/>
      <c r="J1264" s="526"/>
      <c r="K1264" s="64"/>
      <c r="L1264" s="26" t="s">
        <v>123</v>
      </c>
      <c r="M1264" s="79">
        <f>B1264++B1315</f>
        <v>80</v>
      </c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</row>
    <row r="1265" spans="1:36" s="18" customFormat="1" ht="24.75" customHeight="1">
      <c r="A1265" s="280" t="s">
        <v>148</v>
      </c>
      <c r="B1265" s="167">
        <v>140</v>
      </c>
      <c r="C1265" s="167">
        <v>140</v>
      </c>
      <c r="D1265" s="270"/>
      <c r="E1265" s="201"/>
      <c r="F1265" s="201"/>
      <c r="G1265" s="201"/>
      <c r="H1265" s="202"/>
      <c r="I1265" s="263"/>
      <c r="J1265" s="526"/>
      <c r="K1265" s="64"/>
      <c r="L1265" s="26"/>
      <c r="M1265" s="79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</row>
    <row r="1266" spans="1:36" s="18" customFormat="1" ht="24.75" customHeight="1">
      <c r="A1266" s="280" t="s">
        <v>108</v>
      </c>
      <c r="B1266" s="167">
        <v>87</v>
      </c>
      <c r="C1266" s="167">
        <v>87</v>
      </c>
      <c r="D1266" s="265"/>
      <c r="E1266" s="201"/>
      <c r="F1266" s="201"/>
      <c r="G1266" s="201"/>
      <c r="H1266" s="202"/>
      <c r="I1266" s="263"/>
      <c r="J1266" s="36"/>
      <c r="K1266" s="64"/>
      <c r="L1266" s="25" t="s">
        <v>137</v>
      </c>
      <c r="M1266" s="79">
        <f>B1293+B1343</f>
        <v>279.3</v>
      </c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</row>
    <row r="1267" spans="1:36" s="18" customFormat="1" ht="24.75" customHeight="1">
      <c r="A1267" s="269" t="s">
        <v>12</v>
      </c>
      <c r="B1267" s="272">
        <v>5</v>
      </c>
      <c r="C1267" s="272">
        <v>5</v>
      </c>
      <c r="D1267" s="270"/>
      <c r="E1267" s="271"/>
      <c r="F1267" s="268"/>
      <c r="G1267" s="268"/>
      <c r="H1267" s="419"/>
      <c r="I1267" s="273"/>
      <c r="J1267" s="192" t="s">
        <v>341</v>
      </c>
      <c r="K1267" s="64"/>
      <c r="L1267" s="25" t="s">
        <v>82</v>
      </c>
      <c r="M1267" s="79">
        <f>B1287+B1289+B1297+B1299++B1308+B1310+B1312+B1341+B1349+B1350++B1336+B1277+B1347</f>
        <v>297.53000000000003</v>
      </c>
      <c r="N1267" s="108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</row>
    <row r="1268" spans="1:13" ht="24.75" customHeight="1">
      <c r="A1268" s="274" t="s">
        <v>149</v>
      </c>
      <c r="B1268" s="270">
        <v>1.3</v>
      </c>
      <c r="C1268" s="270">
        <v>1.3</v>
      </c>
      <c r="D1268" s="270"/>
      <c r="E1268" s="271"/>
      <c r="F1268" s="268"/>
      <c r="G1268" s="268"/>
      <c r="H1268" s="419"/>
      <c r="I1268" s="273"/>
      <c r="J1268" s="270"/>
      <c r="L1268" s="139" t="s">
        <v>83</v>
      </c>
      <c r="M1268" s="140">
        <f>+B1319+D1284</f>
        <v>205.3</v>
      </c>
    </row>
    <row r="1269" spans="1:36" s="18" customFormat="1" ht="24.75" customHeight="1">
      <c r="A1269" s="269" t="s">
        <v>13</v>
      </c>
      <c r="B1269" s="270">
        <v>10</v>
      </c>
      <c r="C1269" s="270">
        <v>10</v>
      </c>
      <c r="D1269" s="270"/>
      <c r="E1269" s="271"/>
      <c r="F1269" s="271"/>
      <c r="G1269" s="271"/>
      <c r="H1269" s="272"/>
      <c r="I1269" s="273"/>
      <c r="J1269" s="263"/>
      <c r="K1269" s="64"/>
      <c r="L1269" s="25" t="s">
        <v>124</v>
      </c>
      <c r="M1269" s="79">
        <f>D1327</f>
        <v>200</v>
      </c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</row>
    <row r="1270" spans="1:14" ht="24.75" customHeight="1">
      <c r="A1270" s="501" t="s">
        <v>520</v>
      </c>
      <c r="B1270" s="501"/>
      <c r="C1270" s="501"/>
      <c r="D1270" s="113">
        <v>80</v>
      </c>
      <c r="E1270" s="201">
        <v>9</v>
      </c>
      <c r="F1270" s="201">
        <v>8.7</v>
      </c>
      <c r="G1270" s="201">
        <v>1.8</v>
      </c>
      <c r="H1270" s="75">
        <f>E1270*4+F1270*9+G1270*4</f>
        <v>121.5</v>
      </c>
      <c r="I1270" s="192">
        <v>0.12</v>
      </c>
      <c r="J1270" s="263"/>
      <c r="L1270" s="25" t="s">
        <v>84</v>
      </c>
      <c r="M1270" s="79"/>
      <c r="N1270" s="84">
        <f>B1267+B1321</f>
        <v>20</v>
      </c>
    </row>
    <row r="1271" spans="1:36" s="18" customFormat="1" ht="24.75" customHeight="1">
      <c r="A1271" s="269" t="s">
        <v>29</v>
      </c>
      <c r="B1271" s="272">
        <v>60</v>
      </c>
      <c r="C1271" s="272">
        <v>60</v>
      </c>
      <c r="D1271" s="272"/>
      <c r="E1271" s="271"/>
      <c r="F1271" s="271"/>
      <c r="G1271" s="271"/>
      <c r="H1271" s="271"/>
      <c r="I1271" s="273"/>
      <c r="J1271" s="273"/>
      <c r="K1271" s="64"/>
      <c r="L1271" s="25" t="s">
        <v>85</v>
      </c>
      <c r="M1271" s="79">
        <f>+B1267++B1321++B1282</f>
        <v>35</v>
      </c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</row>
    <row r="1272" spans="1:36" s="18" customFormat="1" ht="24.75" customHeight="1">
      <c r="A1272" s="264" t="s">
        <v>148</v>
      </c>
      <c r="B1272" s="167">
        <v>22.857142857142858</v>
      </c>
      <c r="C1272" s="167">
        <v>22.857142857142858</v>
      </c>
      <c r="D1272" s="167"/>
      <c r="E1272" s="201"/>
      <c r="F1272" s="201"/>
      <c r="G1272" s="201"/>
      <c r="H1272" s="202"/>
      <c r="I1272" s="263"/>
      <c r="J1272" s="273"/>
      <c r="K1272" s="64"/>
      <c r="L1272" s="151" t="s">
        <v>197</v>
      </c>
      <c r="M1272" s="82">
        <f>B1354</f>
        <v>20</v>
      </c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</row>
    <row r="1273" spans="1:36" s="18" customFormat="1" ht="24.75" customHeight="1">
      <c r="A1273" s="264" t="s">
        <v>27</v>
      </c>
      <c r="B1273" s="265">
        <v>2</v>
      </c>
      <c r="C1273" s="265">
        <v>2</v>
      </c>
      <c r="D1273" s="167"/>
      <c r="E1273" s="266"/>
      <c r="F1273" s="266"/>
      <c r="G1273" s="266"/>
      <c r="H1273" s="167"/>
      <c r="I1273" s="267"/>
      <c r="J1273" s="273"/>
      <c r="K1273" s="64"/>
      <c r="L1273" s="25" t="s">
        <v>125</v>
      </c>
      <c r="M1273" s="79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</row>
    <row r="1274" spans="1:36" s="18" customFormat="1" ht="24.75" customHeight="1">
      <c r="A1274" s="313" t="s">
        <v>378</v>
      </c>
      <c r="B1274" s="265"/>
      <c r="C1274" s="265"/>
      <c r="D1274" s="227" t="s">
        <v>377</v>
      </c>
      <c r="E1274" s="201">
        <v>3.9</v>
      </c>
      <c r="F1274" s="201">
        <v>7.9</v>
      </c>
      <c r="G1274" s="201">
        <v>15.2</v>
      </c>
      <c r="H1274" s="202">
        <f>E1274*4+F1274*9+G1274*4</f>
        <v>147.5</v>
      </c>
      <c r="I1274" s="263">
        <v>4.9</v>
      </c>
      <c r="J1274" s="263" t="s">
        <v>342</v>
      </c>
      <c r="K1274" s="64"/>
      <c r="L1274" s="25" t="s">
        <v>86</v>
      </c>
      <c r="M1274" s="79">
        <f>B1353</f>
        <v>0.4</v>
      </c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</row>
    <row r="1275" spans="1:13" ht="24.75" customHeight="1">
      <c r="A1275" s="264" t="s">
        <v>322</v>
      </c>
      <c r="B1275" s="265">
        <v>21</v>
      </c>
      <c r="C1275" s="265">
        <v>20</v>
      </c>
      <c r="D1275" s="265"/>
      <c r="E1275" s="266"/>
      <c r="F1275" s="266"/>
      <c r="G1275" s="266"/>
      <c r="H1275" s="167"/>
      <c r="I1275" s="267"/>
      <c r="J1275" s="267"/>
      <c r="L1275" s="25" t="s">
        <v>136</v>
      </c>
      <c r="M1275" s="79">
        <f>+B1305</f>
        <v>107.44000000000001</v>
      </c>
    </row>
    <row r="1276" spans="1:36" s="18" customFormat="1" ht="24.75" customHeight="1">
      <c r="A1276" s="264" t="s">
        <v>36</v>
      </c>
      <c r="B1276" s="265">
        <v>30</v>
      </c>
      <c r="C1276" s="265">
        <v>30</v>
      </c>
      <c r="D1276" s="265"/>
      <c r="E1276" s="266"/>
      <c r="F1276" s="266"/>
      <c r="G1276" s="266"/>
      <c r="H1276" s="266"/>
      <c r="I1276" s="267"/>
      <c r="J1276" s="263"/>
      <c r="K1276" s="64"/>
      <c r="L1276" s="195" t="s">
        <v>199</v>
      </c>
      <c r="M1276" s="82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</row>
    <row r="1277" spans="1:13" ht="24.75" customHeight="1">
      <c r="A1277" s="264" t="s">
        <v>375</v>
      </c>
      <c r="B1277" s="265">
        <f>C1277*1.02</f>
        <v>20.4</v>
      </c>
      <c r="C1277" s="265">
        <v>20</v>
      </c>
      <c r="D1277" s="265"/>
      <c r="E1277" s="266"/>
      <c r="F1277" s="266"/>
      <c r="G1277" s="266"/>
      <c r="H1277" s="266"/>
      <c r="I1277" s="267"/>
      <c r="J1277" s="267"/>
      <c r="L1277" s="25" t="s">
        <v>87</v>
      </c>
      <c r="M1277" s="79">
        <f>B1333</f>
        <v>103.95</v>
      </c>
    </row>
    <row r="1278" spans="1:13" ht="24.75" customHeight="1">
      <c r="A1278" s="264" t="s">
        <v>376</v>
      </c>
      <c r="B1278" s="265">
        <f>C1278*1.18</f>
        <v>23.599999999999998</v>
      </c>
      <c r="C1278" s="265">
        <v>20</v>
      </c>
      <c r="D1278" s="265"/>
      <c r="E1278" s="266"/>
      <c r="F1278" s="266"/>
      <c r="G1278" s="266"/>
      <c r="H1278" s="266"/>
      <c r="I1278" s="267"/>
      <c r="J1278" s="263" t="s">
        <v>379</v>
      </c>
      <c r="L1278" s="25" t="s">
        <v>127</v>
      </c>
      <c r="M1278" s="79">
        <f>B1275</f>
        <v>21</v>
      </c>
    </row>
    <row r="1279" spans="1:36" s="18" customFormat="1" ht="24.75" customHeight="1">
      <c r="A1279" s="506" t="s">
        <v>14</v>
      </c>
      <c r="B1279" s="506"/>
      <c r="C1279" s="506"/>
      <c r="D1279" s="227" t="s">
        <v>15</v>
      </c>
      <c r="E1279" s="334">
        <v>0.2</v>
      </c>
      <c r="F1279" s="334">
        <v>0</v>
      </c>
      <c r="G1279" s="334">
        <v>15.3</v>
      </c>
      <c r="H1279" s="75">
        <v>58</v>
      </c>
      <c r="I1279" s="263">
        <v>3.7</v>
      </c>
      <c r="J1279" s="267"/>
      <c r="K1279" s="64"/>
      <c r="L1279" s="26" t="s">
        <v>128</v>
      </c>
      <c r="M1279" s="79">
        <f>B1265+++B1272+B1281+B1302</f>
        <v>222.85714285714286</v>
      </c>
      <c r="N1279" s="8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</row>
    <row r="1280" spans="1:36" s="18" customFormat="1" ht="24.75" customHeight="1">
      <c r="A1280" s="413" t="s">
        <v>549</v>
      </c>
      <c r="B1280" s="321">
        <v>0.4</v>
      </c>
      <c r="C1280" s="321">
        <v>0.4</v>
      </c>
      <c r="D1280" s="321"/>
      <c r="E1280" s="271"/>
      <c r="F1280" s="271"/>
      <c r="G1280" s="271"/>
      <c r="H1280" s="272"/>
      <c r="I1280" s="288"/>
      <c r="J1280" s="267"/>
      <c r="K1280" s="64"/>
      <c r="L1280" s="26"/>
      <c r="M1280" s="79">
        <f>B1358</f>
        <v>206</v>
      </c>
      <c r="N1280" s="84">
        <f>B1265+B1358+B1272</f>
        <v>368.85714285714283</v>
      </c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</row>
    <row r="1281" spans="1:14" ht="24.75" customHeight="1">
      <c r="A1281" s="280" t="s">
        <v>17</v>
      </c>
      <c r="B1281" s="265">
        <v>6</v>
      </c>
      <c r="C1281" s="265">
        <v>5</v>
      </c>
      <c r="D1281" s="265"/>
      <c r="E1281" s="266"/>
      <c r="F1281" s="266"/>
      <c r="G1281" s="266"/>
      <c r="H1281" s="266"/>
      <c r="I1281" s="267"/>
      <c r="J1281" s="267"/>
      <c r="L1281" s="25" t="s">
        <v>88</v>
      </c>
      <c r="M1281" s="79"/>
      <c r="N1281" s="84"/>
    </row>
    <row r="1282" spans="1:36" s="18" customFormat="1" ht="24.75" customHeight="1">
      <c r="A1282" s="285" t="s">
        <v>12</v>
      </c>
      <c r="B1282" s="270">
        <v>15</v>
      </c>
      <c r="C1282" s="270">
        <v>15</v>
      </c>
      <c r="D1282" s="265"/>
      <c r="E1282" s="266"/>
      <c r="F1282" s="266"/>
      <c r="G1282" s="271"/>
      <c r="H1282" s="271"/>
      <c r="I1282" s="273"/>
      <c r="J1282" s="267"/>
      <c r="K1282" s="64"/>
      <c r="L1282" s="25" t="s">
        <v>89</v>
      </c>
      <c r="M1282" s="79">
        <f>B1311</f>
        <v>8</v>
      </c>
      <c r="N1282" s="84">
        <f>B1311</f>
        <v>8</v>
      </c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</row>
    <row r="1283" spans="1:36" s="18" customFormat="1" ht="24.75" customHeight="1">
      <c r="A1283" s="426" t="s">
        <v>150</v>
      </c>
      <c r="B1283" s="427"/>
      <c r="C1283" s="427"/>
      <c r="D1283" s="427"/>
      <c r="E1283" s="427"/>
      <c r="F1283" s="427"/>
      <c r="G1283" s="427"/>
      <c r="H1283" s="427"/>
      <c r="I1283" s="427"/>
      <c r="J1283" s="263" t="s">
        <v>334</v>
      </c>
      <c r="K1283" s="64"/>
      <c r="L1283" s="25" t="s">
        <v>132</v>
      </c>
      <c r="M1283" s="79"/>
      <c r="N1283" s="8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</row>
    <row r="1284" spans="1:36" s="18" customFormat="1" ht="41.25" customHeight="1">
      <c r="A1284" s="492" t="s">
        <v>337</v>
      </c>
      <c r="B1284" s="492"/>
      <c r="C1284" s="492"/>
      <c r="D1284" s="282">
        <v>180</v>
      </c>
      <c r="E1284" s="201">
        <v>0.4</v>
      </c>
      <c r="F1284" s="279">
        <v>0</v>
      </c>
      <c r="G1284" s="201">
        <v>18</v>
      </c>
      <c r="H1284" s="202">
        <f>E1284*4+F1284*9+G1284*4</f>
        <v>73.6</v>
      </c>
      <c r="I1284" s="263">
        <v>12</v>
      </c>
      <c r="J1284" s="288"/>
      <c r="K1284" s="64"/>
      <c r="L1284" s="25" t="s">
        <v>90</v>
      </c>
      <c r="M1284" s="78">
        <f>B1269+B1301++B1317+++B1273</f>
        <v>25</v>
      </c>
      <c r="N1284" s="84">
        <f>B1269+B1273++B1301+B1317</f>
        <v>25</v>
      </c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</row>
    <row r="1285" spans="1:36" s="18" customFormat="1" ht="24.75" customHeight="1">
      <c r="A1285" s="113" t="s">
        <v>18</v>
      </c>
      <c r="B1285" s="113"/>
      <c r="C1285" s="113"/>
      <c r="D1285" s="113"/>
      <c r="E1285" s="36">
        <f>SUM(E1286:E1323)</f>
        <v>34.55383625730994</v>
      </c>
      <c r="F1285" s="36">
        <f>SUM(F1286:F1323)</f>
        <v>29.78</v>
      </c>
      <c r="G1285" s="36">
        <f>SUM(G1286:G1323)</f>
        <v>159.66</v>
      </c>
      <c r="H1285" s="75">
        <f>SUM(H1286:H1323)</f>
        <v>1043.7153450292396</v>
      </c>
      <c r="I1285" s="192">
        <f>SUM(I1286:I1323)</f>
        <v>20.459999999999997</v>
      </c>
      <c r="J1285" s="267"/>
      <c r="K1285" s="64"/>
      <c r="L1285" s="25" t="s">
        <v>63</v>
      </c>
      <c r="M1285" s="78">
        <f>B1290+B1339+B1351++B1307</f>
        <v>23</v>
      </c>
      <c r="N1285" s="84">
        <f>B1290+B1339+B1351</f>
        <v>18</v>
      </c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</row>
    <row r="1286" spans="1:14" ht="24.75" customHeight="1" thickBot="1">
      <c r="A1286" s="344" t="s">
        <v>138</v>
      </c>
      <c r="B1286" s="113"/>
      <c r="C1286" s="113"/>
      <c r="D1286" s="113">
        <v>80</v>
      </c>
      <c r="E1286" s="36">
        <v>0.4749473684210526</v>
      </c>
      <c r="F1286" s="36">
        <v>5</v>
      </c>
      <c r="G1286" s="36">
        <v>6.480000000000001</v>
      </c>
      <c r="H1286" s="75">
        <f>E1286*4+F1286*9+G1286*4</f>
        <v>72.81978947368421</v>
      </c>
      <c r="I1286" s="192">
        <v>9.8</v>
      </c>
      <c r="J1286" s="273"/>
      <c r="L1286" s="27" t="s">
        <v>91</v>
      </c>
      <c r="M1286" s="78">
        <f>B1271++B1337+D1329</f>
        <v>103.6</v>
      </c>
      <c r="N1286" s="84"/>
    </row>
    <row r="1287" spans="1:36" s="18" customFormat="1" ht="24.75" customHeight="1">
      <c r="A1287" s="285" t="s">
        <v>158</v>
      </c>
      <c r="B1287" s="290">
        <f>C1287*1.02</f>
        <v>67.32000000000001</v>
      </c>
      <c r="C1287" s="376">
        <v>66</v>
      </c>
      <c r="D1287" s="329"/>
      <c r="E1287" s="367"/>
      <c r="F1287" s="367"/>
      <c r="G1287" s="367"/>
      <c r="H1287" s="329"/>
      <c r="I1287" s="318"/>
      <c r="J1287" s="428"/>
      <c r="K1287" s="64"/>
      <c r="L1287" s="152" t="s">
        <v>200</v>
      </c>
      <c r="M1287" s="82">
        <f>B1320</f>
        <v>7</v>
      </c>
      <c r="N1287" s="8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</row>
    <row r="1288" spans="1:36" s="18" customFormat="1" ht="36" customHeight="1">
      <c r="A1288" s="285" t="s">
        <v>213</v>
      </c>
      <c r="B1288" s="290">
        <f>C1288*1.05</f>
        <v>69.3</v>
      </c>
      <c r="C1288" s="376">
        <v>66</v>
      </c>
      <c r="D1288" s="329"/>
      <c r="E1288" s="367"/>
      <c r="F1288" s="367"/>
      <c r="G1288" s="367"/>
      <c r="H1288" s="329"/>
      <c r="I1288" s="318"/>
      <c r="J1288" s="263"/>
      <c r="K1288" s="64"/>
      <c r="L1288" s="157" t="s">
        <v>206</v>
      </c>
      <c r="M1288" s="161"/>
      <c r="N1288" s="8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</row>
    <row r="1289" spans="1:36" s="18" customFormat="1" ht="24.75" customHeight="1">
      <c r="A1289" s="291" t="s">
        <v>212</v>
      </c>
      <c r="B1289" s="287">
        <f>C1289*1.25</f>
        <v>16.25</v>
      </c>
      <c r="C1289" s="329">
        <v>13</v>
      </c>
      <c r="D1289" s="329"/>
      <c r="E1289" s="367"/>
      <c r="F1289" s="367"/>
      <c r="G1289" s="367"/>
      <c r="H1289" s="329"/>
      <c r="I1289" s="318"/>
      <c r="J1289" s="36"/>
      <c r="K1289" s="64"/>
      <c r="L1289" s="29"/>
      <c r="M1289" s="82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</row>
    <row r="1290" spans="1:36" s="18" customFormat="1" ht="24.75" customHeight="1">
      <c r="A1290" s="285" t="s">
        <v>20</v>
      </c>
      <c r="B1290" s="290">
        <v>5</v>
      </c>
      <c r="C1290" s="290">
        <v>5</v>
      </c>
      <c r="D1290" s="290"/>
      <c r="E1290" s="287"/>
      <c r="F1290" s="287"/>
      <c r="G1290" s="287"/>
      <c r="H1290" s="290"/>
      <c r="I1290" s="288"/>
      <c r="J1290" s="192" t="s">
        <v>404</v>
      </c>
      <c r="K1290" s="64"/>
      <c r="L1290" s="29"/>
      <c r="M1290" s="82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</row>
    <row r="1291" spans="1:36" s="18" customFormat="1" ht="24.75" customHeight="1">
      <c r="A1291" s="496" t="s">
        <v>548</v>
      </c>
      <c r="B1291" s="496"/>
      <c r="C1291" s="496"/>
      <c r="D1291" s="374" t="s">
        <v>340</v>
      </c>
      <c r="E1291" s="336">
        <v>9.97</v>
      </c>
      <c r="F1291" s="336">
        <v>6.94</v>
      </c>
      <c r="G1291" s="336">
        <v>48.5</v>
      </c>
      <c r="H1291" s="75">
        <f>E1291*4+F1291*9+G1291*4</f>
        <v>296.34000000000003</v>
      </c>
      <c r="I1291" s="192">
        <v>9.11</v>
      </c>
      <c r="J1291" s="318"/>
      <c r="K1291" s="64"/>
      <c r="L1291" s="29"/>
      <c r="M1291" s="82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</row>
    <row r="1292" spans="1:36" s="18" customFormat="1" ht="24.75" customHeight="1">
      <c r="A1292" s="343" t="s">
        <v>51</v>
      </c>
      <c r="B1292" s="343">
        <v>16</v>
      </c>
      <c r="C1292" s="343">
        <v>14</v>
      </c>
      <c r="D1292" s="374"/>
      <c r="E1292" s="336"/>
      <c r="F1292" s="336"/>
      <c r="G1292" s="336"/>
      <c r="H1292" s="75"/>
      <c r="I1292" s="192"/>
      <c r="J1292" s="318"/>
      <c r="K1292" s="64"/>
      <c r="L1292" s="29"/>
      <c r="M1292" s="82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</row>
    <row r="1293" spans="1:36" s="18" customFormat="1" ht="24.75" customHeight="1">
      <c r="A1293" s="291" t="s">
        <v>21</v>
      </c>
      <c r="B1293" s="290">
        <f>C1293*1.33</f>
        <v>152.95000000000002</v>
      </c>
      <c r="C1293" s="329">
        <v>115</v>
      </c>
      <c r="D1293" s="281"/>
      <c r="E1293" s="283"/>
      <c r="F1293" s="283"/>
      <c r="G1293" s="283"/>
      <c r="H1293" s="281"/>
      <c r="I1293" s="284"/>
      <c r="J1293" s="318"/>
      <c r="K1293" s="64"/>
      <c r="L1293" s="29"/>
      <c r="M1293" s="82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</row>
    <row r="1294" spans="1:36" s="18" customFormat="1" ht="24.75" customHeight="1">
      <c r="A1294" s="291" t="s">
        <v>22</v>
      </c>
      <c r="B1294" s="290">
        <f>C1294*1.43</f>
        <v>164.45</v>
      </c>
      <c r="C1294" s="329">
        <v>115</v>
      </c>
      <c r="D1294" s="374"/>
      <c r="E1294" s="336"/>
      <c r="F1294" s="336"/>
      <c r="G1294" s="336"/>
      <c r="H1294" s="75"/>
      <c r="I1294" s="192"/>
      <c r="J1294" s="288"/>
      <c r="K1294" s="64"/>
      <c r="L1294" s="29"/>
      <c r="M1294" s="82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</row>
    <row r="1295" spans="1:36" s="18" customFormat="1" ht="24.75" customHeight="1">
      <c r="A1295" s="285" t="s">
        <v>23</v>
      </c>
      <c r="B1295" s="290">
        <f>C1295*1.54</f>
        <v>177.1</v>
      </c>
      <c r="C1295" s="329">
        <v>115</v>
      </c>
      <c r="D1295" s="376"/>
      <c r="E1295" s="367"/>
      <c r="F1295" s="367"/>
      <c r="G1295" s="367"/>
      <c r="H1295" s="329"/>
      <c r="I1295" s="318"/>
      <c r="J1295" s="192" t="s">
        <v>372</v>
      </c>
      <c r="K1295" s="64"/>
      <c r="L1295" s="29"/>
      <c r="M1295" s="82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</row>
    <row r="1296" spans="1:36" s="18" customFormat="1" ht="24.75" customHeight="1">
      <c r="A1296" s="285" t="s">
        <v>24</v>
      </c>
      <c r="B1296" s="290">
        <f>C1296*1.67</f>
        <v>192.04999999999998</v>
      </c>
      <c r="C1296" s="329">
        <v>115</v>
      </c>
      <c r="D1296" s="376"/>
      <c r="E1296" s="367"/>
      <c r="F1296" s="367"/>
      <c r="G1296" s="367"/>
      <c r="H1296" s="329"/>
      <c r="I1296" s="318"/>
      <c r="J1296" s="192"/>
      <c r="K1296" s="64"/>
      <c r="L1296" s="29"/>
      <c r="M1296" s="82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</row>
    <row r="1297" spans="1:36" s="18" customFormat="1" ht="24.75" customHeight="1">
      <c r="A1297" s="291" t="s">
        <v>25</v>
      </c>
      <c r="B1297" s="287">
        <f>C1297*1.25</f>
        <v>8.75</v>
      </c>
      <c r="C1297" s="329">
        <v>7</v>
      </c>
      <c r="D1297" s="376"/>
      <c r="E1297" s="367"/>
      <c r="F1297" s="367"/>
      <c r="G1297" s="367"/>
      <c r="H1297" s="329"/>
      <c r="I1297" s="318"/>
      <c r="J1297" s="284"/>
      <c r="K1297" s="64"/>
      <c r="L1297" s="29"/>
      <c r="M1297" s="82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</row>
    <row r="1298" spans="1:36" s="18" customFormat="1" ht="24.75" customHeight="1">
      <c r="A1298" s="291" t="s">
        <v>19</v>
      </c>
      <c r="B1298" s="287">
        <f>C1298*1.33</f>
        <v>9.31</v>
      </c>
      <c r="C1298" s="329">
        <v>7</v>
      </c>
      <c r="D1298" s="376"/>
      <c r="E1298" s="367"/>
      <c r="F1298" s="367"/>
      <c r="G1298" s="367"/>
      <c r="H1298" s="329"/>
      <c r="I1298" s="318"/>
      <c r="J1298" s="192"/>
      <c r="K1298" s="64"/>
      <c r="L1298" s="29"/>
      <c r="M1298" s="82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</row>
    <row r="1299" spans="1:36" s="18" customFormat="1" ht="24.75" customHeight="1">
      <c r="A1299" s="285" t="s">
        <v>26</v>
      </c>
      <c r="B1299" s="290">
        <f>C1299*1.19</f>
        <v>16.66</v>
      </c>
      <c r="C1299" s="286">
        <v>14</v>
      </c>
      <c r="D1299" s="113"/>
      <c r="E1299" s="36"/>
      <c r="F1299" s="287"/>
      <c r="G1299" s="287"/>
      <c r="H1299" s="290"/>
      <c r="I1299" s="288"/>
      <c r="J1299" s="318"/>
      <c r="K1299" s="64"/>
      <c r="L1299" s="29"/>
      <c r="M1299" s="82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</row>
    <row r="1300" spans="1:36" s="18" customFormat="1" ht="24.75" customHeight="1">
      <c r="A1300" s="291" t="s">
        <v>28</v>
      </c>
      <c r="B1300" s="329">
        <v>7</v>
      </c>
      <c r="C1300" s="329">
        <v>7</v>
      </c>
      <c r="D1300" s="376"/>
      <c r="E1300" s="367"/>
      <c r="F1300" s="367"/>
      <c r="G1300" s="367"/>
      <c r="H1300" s="329"/>
      <c r="I1300" s="318"/>
      <c r="J1300" s="318"/>
      <c r="K1300" s="64"/>
      <c r="L1300" s="29"/>
      <c r="M1300" s="82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</row>
    <row r="1301" spans="1:36" s="18" customFormat="1" ht="24.75" customHeight="1">
      <c r="A1301" s="285" t="s">
        <v>27</v>
      </c>
      <c r="B1301" s="286">
        <v>8</v>
      </c>
      <c r="C1301" s="286">
        <v>8</v>
      </c>
      <c r="D1301" s="113"/>
      <c r="E1301" s="36"/>
      <c r="F1301" s="287"/>
      <c r="G1301" s="287"/>
      <c r="H1301" s="290"/>
      <c r="I1301" s="288"/>
      <c r="J1301" s="318"/>
      <c r="K1301" s="64"/>
      <c r="L1301" s="29"/>
      <c r="M1301" s="82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</row>
    <row r="1302" spans="1:36" s="18" customFormat="1" ht="24.75" customHeight="1">
      <c r="A1302" s="280" t="s">
        <v>148</v>
      </c>
      <c r="B1302" s="305">
        <v>54</v>
      </c>
      <c r="C1302" s="305">
        <v>54.25</v>
      </c>
      <c r="D1302" s="394"/>
      <c r="E1302" s="393"/>
      <c r="F1302" s="393"/>
      <c r="G1302" s="393"/>
      <c r="H1302" s="392"/>
      <c r="I1302" s="346"/>
      <c r="J1302" s="318"/>
      <c r="K1302" s="64"/>
      <c r="L1302" s="29"/>
      <c r="M1302" s="82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</row>
    <row r="1303" spans="1:36" s="18" customFormat="1" ht="24.75" customHeight="1">
      <c r="A1303" s="269" t="s">
        <v>147</v>
      </c>
      <c r="B1303" s="270">
        <v>57</v>
      </c>
      <c r="C1303" s="270">
        <v>48</v>
      </c>
      <c r="D1303" s="286"/>
      <c r="E1303" s="287"/>
      <c r="F1303" s="287"/>
      <c r="G1303" s="287"/>
      <c r="H1303" s="290"/>
      <c r="I1303" s="288"/>
      <c r="J1303" s="288"/>
      <c r="K1303" s="64"/>
      <c r="L1303" s="29"/>
      <c r="M1303" s="82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</row>
    <row r="1304" spans="1:10" ht="24.75" customHeight="1">
      <c r="A1304" s="501" t="s">
        <v>262</v>
      </c>
      <c r="B1304" s="501"/>
      <c r="C1304" s="501"/>
      <c r="D1304" s="113">
        <v>100</v>
      </c>
      <c r="E1304" s="36">
        <v>9.88888888888889</v>
      </c>
      <c r="F1304" s="36">
        <v>11</v>
      </c>
      <c r="G1304" s="36">
        <v>5.3</v>
      </c>
      <c r="H1304" s="75">
        <f>E1304*4+F1304*9+G1304*4</f>
        <v>159.75555555555553</v>
      </c>
      <c r="I1304" s="192">
        <v>0.15</v>
      </c>
      <c r="J1304" s="288"/>
    </row>
    <row r="1305" spans="1:36" s="18" customFormat="1" ht="24.75" customHeight="1">
      <c r="A1305" s="299" t="s">
        <v>60</v>
      </c>
      <c r="B1305" s="301">
        <f>C1305*1.36</f>
        <v>107.44000000000001</v>
      </c>
      <c r="C1305" s="305">
        <v>79</v>
      </c>
      <c r="D1305" s="296"/>
      <c r="E1305" s="295"/>
      <c r="F1305" s="295"/>
      <c r="G1305" s="295"/>
      <c r="H1305" s="296"/>
      <c r="I1305" s="297"/>
      <c r="J1305" s="346"/>
      <c r="K1305" s="64"/>
      <c r="L1305" s="29"/>
      <c r="M1305" s="82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</row>
    <row r="1306" spans="1:36" s="18" customFormat="1" ht="24.75" customHeight="1">
      <c r="A1306" s="302" t="s">
        <v>72</v>
      </c>
      <c r="B1306" s="325">
        <f>C1306*1.18</f>
        <v>93.22</v>
      </c>
      <c r="C1306" s="305">
        <v>79</v>
      </c>
      <c r="D1306" s="296"/>
      <c r="E1306" s="295"/>
      <c r="F1306" s="295"/>
      <c r="G1306" s="295"/>
      <c r="H1306" s="290"/>
      <c r="I1306" s="288"/>
      <c r="J1306" s="288"/>
      <c r="K1306" s="64"/>
      <c r="L1306" s="29"/>
      <c r="M1306" s="82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</row>
    <row r="1307" spans="1:36" s="18" customFormat="1" ht="24.75" customHeight="1">
      <c r="A1307" s="285" t="s">
        <v>20</v>
      </c>
      <c r="B1307" s="290">
        <v>5</v>
      </c>
      <c r="C1307" s="290">
        <v>5</v>
      </c>
      <c r="D1307" s="296"/>
      <c r="E1307" s="295"/>
      <c r="F1307" s="295"/>
      <c r="G1307" s="295"/>
      <c r="H1307" s="290"/>
      <c r="I1307" s="288"/>
      <c r="J1307" s="288"/>
      <c r="K1307" s="64"/>
      <c r="L1307" s="29"/>
      <c r="M1307" s="82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</row>
    <row r="1308" spans="1:36" s="18" customFormat="1" ht="24.75" customHeight="1">
      <c r="A1308" s="285" t="s">
        <v>26</v>
      </c>
      <c r="B1308" s="290">
        <f>C1308*1.19</f>
        <v>10.709999999999999</v>
      </c>
      <c r="C1308" s="290">
        <v>9</v>
      </c>
      <c r="D1308" s="296"/>
      <c r="E1308" s="295"/>
      <c r="F1308" s="287"/>
      <c r="G1308" s="287"/>
      <c r="H1308" s="290"/>
      <c r="I1308" s="288"/>
      <c r="J1308" s="192" t="s">
        <v>447</v>
      </c>
      <c r="K1308" s="64"/>
      <c r="L1308" s="29"/>
      <c r="M1308" s="82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</row>
    <row r="1309" spans="1:36" s="18" customFormat="1" ht="24.75" customHeight="1">
      <c r="A1309" s="285" t="s">
        <v>25</v>
      </c>
      <c r="B1309" s="287">
        <f>C1309*1.25</f>
        <v>8.75</v>
      </c>
      <c r="C1309" s="290">
        <v>7</v>
      </c>
      <c r="D1309" s="296"/>
      <c r="E1309" s="295"/>
      <c r="F1309" s="287"/>
      <c r="G1309" s="287"/>
      <c r="H1309" s="290"/>
      <c r="I1309" s="288"/>
      <c r="J1309" s="297"/>
      <c r="K1309" s="64"/>
      <c r="L1309" s="29"/>
      <c r="M1309" s="82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</row>
    <row r="1310" spans="1:36" s="18" customFormat="1" ht="24.75" customHeight="1">
      <c r="A1310" s="285" t="s">
        <v>19</v>
      </c>
      <c r="B1310" s="287">
        <f>C1310*1.33</f>
        <v>9.31</v>
      </c>
      <c r="C1310" s="290">
        <v>7</v>
      </c>
      <c r="D1310" s="296"/>
      <c r="E1310" s="295"/>
      <c r="F1310" s="271"/>
      <c r="G1310" s="287"/>
      <c r="H1310" s="290"/>
      <c r="I1310" s="288"/>
      <c r="J1310" s="288"/>
      <c r="K1310" s="64"/>
      <c r="L1310" s="29"/>
      <c r="M1310" s="82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</row>
    <row r="1311" spans="1:36" s="18" customFormat="1" ht="24.75" customHeight="1">
      <c r="A1311" s="269" t="s">
        <v>93</v>
      </c>
      <c r="B1311" s="290">
        <v>8</v>
      </c>
      <c r="C1311" s="290">
        <v>8</v>
      </c>
      <c r="D1311" s="296"/>
      <c r="E1311" s="295"/>
      <c r="F1311" s="287"/>
      <c r="G1311" s="287"/>
      <c r="H1311" s="290"/>
      <c r="I1311" s="288"/>
      <c r="J1311" s="288"/>
      <c r="K1311" s="64"/>
      <c r="L1311" s="29"/>
      <c r="M1311" s="82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</row>
    <row r="1312" spans="1:36" s="18" customFormat="1" ht="24.75" customHeight="1">
      <c r="A1312" s="285" t="s">
        <v>68</v>
      </c>
      <c r="B1312" s="290">
        <f>C1312*1.35</f>
        <v>3.0000000000000004</v>
      </c>
      <c r="C1312" s="290">
        <v>2.2222222222222223</v>
      </c>
      <c r="D1312" s="295"/>
      <c r="E1312" s="295"/>
      <c r="F1312" s="287"/>
      <c r="G1312" s="287"/>
      <c r="H1312" s="290"/>
      <c r="I1312" s="288"/>
      <c r="J1312" s="288"/>
      <c r="K1312" s="64"/>
      <c r="L1312" s="29"/>
      <c r="M1312" s="82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</row>
    <row r="1313" spans="1:36" s="18" customFormat="1" ht="24.75" customHeight="1">
      <c r="A1313" s="285" t="s">
        <v>28</v>
      </c>
      <c r="B1313" s="287">
        <v>2.2</v>
      </c>
      <c r="C1313" s="287">
        <v>2.2222222222222223</v>
      </c>
      <c r="D1313" s="295"/>
      <c r="E1313" s="295"/>
      <c r="F1313" s="287"/>
      <c r="G1313" s="287"/>
      <c r="H1313" s="290"/>
      <c r="I1313" s="288"/>
      <c r="J1313" s="288"/>
      <c r="K1313" s="64"/>
      <c r="L1313" s="29"/>
      <c r="M1313" s="82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</row>
    <row r="1314" spans="1:10" ht="24.75" customHeight="1">
      <c r="A1314" s="501" t="s">
        <v>329</v>
      </c>
      <c r="B1314" s="501"/>
      <c r="C1314" s="501"/>
      <c r="D1314" s="113">
        <v>200</v>
      </c>
      <c r="E1314" s="201">
        <v>4.5</v>
      </c>
      <c r="F1314" s="201">
        <v>5.1</v>
      </c>
      <c r="G1314" s="201">
        <v>31.5</v>
      </c>
      <c r="H1314" s="202">
        <f>E1314*4+F1314*9+G1314*4</f>
        <v>189.9</v>
      </c>
      <c r="I1314" s="263">
        <v>0</v>
      </c>
      <c r="J1314" s="288"/>
    </row>
    <row r="1315" spans="1:36" s="18" customFormat="1" ht="24.75" customHeight="1">
      <c r="A1315" s="269" t="s">
        <v>110</v>
      </c>
      <c r="B1315" s="290">
        <v>50</v>
      </c>
      <c r="C1315" s="290">
        <v>50</v>
      </c>
      <c r="D1315" s="290"/>
      <c r="E1315" s="287"/>
      <c r="F1315" s="287"/>
      <c r="G1315" s="287"/>
      <c r="H1315" s="286"/>
      <c r="I1315" s="288"/>
      <c r="J1315" s="288"/>
      <c r="K1315" s="64"/>
      <c r="L1315" s="29"/>
      <c r="M1315" s="82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</row>
    <row r="1316" spans="1:36" s="18" customFormat="1" ht="24.75" customHeight="1">
      <c r="A1316" s="269" t="s">
        <v>108</v>
      </c>
      <c r="B1316" s="290">
        <v>160</v>
      </c>
      <c r="C1316" s="290">
        <v>160</v>
      </c>
      <c r="D1316" s="290"/>
      <c r="E1316" s="287"/>
      <c r="F1316" s="287"/>
      <c r="G1316" s="287"/>
      <c r="H1316" s="286"/>
      <c r="I1316" s="288"/>
      <c r="J1316" s="288"/>
      <c r="K1316" s="64"/>
      <c r="L1316" s="29"/>
      <c r="M1316" s="82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</row>
    <row r="1317" spans="1:36" s="18" customFormat="1" ht="24.75" customHeight="1">
      <c r="A1317" s="285" t="s">
        <v>27</v>
      </c>
      <c r="B1317" s="286">
        <v>5</v>
      </c>
      <c r="C1317" s="286">
        <v>5</v>
      </c>
      <c r="D1317" s="113"/>
      <c r="E1317" s="36"/>
      <c r="F1317" s="36"/>
      <c r="G1317" s="36"/>
      <c r="H1317" s="36"/>
      <c r="I1317" s="192"/>
      <c r="J1317" s="288"/>
      <c r="K1317" s="64"/>
      <c r="L1317" s="29"/>
      <c r="M1317" s="82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</row>
    <row r="1318" spans="1:36" s="18" customFormat="1" ht="24.75" customHeight="1">
      <c r="A1318" s="502" t="s">
        <v>182</v>
      </c>
      <c r="B1318" s="502"/>
      <c r="C1318" s="502"/>
      <c r="D1318" s="278">
        <v>200</v>
      </c>
      <c r="E1318" s="279">
        <v>0.2</v>
      </c>
      <c r="F1318" s="279">
        <v>0.1</v>
      </c>
      <c r="G1318" s="279">
        <v>21.8</v>
      </c>
      <c r="H1318" s="202">
        <f>E1318*4+F1318*9+G1318*4</f>
        <v>88.9</v>
      </c>
      <c r="I1318" s="263">
        <v>1.4</v>
      </c>
      <c r="J1318" s="263" t="s">
        <v>491</v>
      </c>
      <c r="K1318" s="64"/>
      <c r="L1318" s="29"/>
      <c r="M1318" s="82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</row>
    <row r="1319" spans="1:10" ht="24.75" customHeight="1">
      <c r="A1319" s="298" t="s">
        <v>191</v>
      </c>
      <c r="B1319" s="290">
        <v>25.3</v>
      </c>
      <c r="C1319" s="286">
        <v>24</v>
      </c>
      <c r="D1319" s="286"/>
      <c r="E1319" s="287"/>
      <c r="F1319" s="287"/>
      <c r="G1319" s="287"/>
      <c r="H1319" s="290"/>
      <c r="I1319" s="288"/>
      <c r="J1319" s="288"/>
    </row>
    <row r="1320" spans="1:10" ht="24.75" customHeight="1">
      <c r="A1320" s="285" t="s">
        <v>183</v>
      </c>
      <c r="B1320" s="286">
        <v>7</v>
      </c>
      <c r="C1320" s="286">
        <v>7</v>
      </c>
      <c r="D1320" s="286"/>
      <c r="E1320" s="287"/>
      <c r="F1320" s="287"/>
      <c r="G1320" s="287"/>
      <c r="H1320" s="286"/>
      <c r="I1320" s="288"/>
      <c r="J1320" s="288"/>
    </row>
    <row r="1321" spans="1:36" s="18" customFormat="1" ht="24.75" customHeight="1">
      <c r="A1321" s="285" t="s">
        <v>12</v>
      </c>
      <c r="B1321" s="286">
        <v>15</v>
      </c>
      <c r="C1321" s="286">
        <v>15</v>
      </c>
      <c r="D1321" s="286"/>
      <c r="E1321" s="287"/>
      <c r="F1321" s="287"/>
      <c r="G1321" s="287"/>
      <c r="H1321" s="286"/>
      <c r="I1321" s="288"/>
      <c r="J1321" s="192"/>
      <c r="K1321" s="64"/>
      <c r="L1321" s="29"/>
      <c r="M1321" s="82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</row>
    <row r="1322" spans="1:36" s="18" customFormat="1" ht="24.75" customHeight="1">
      <c r="A1322" s="501" t="s">
        <v>267</v>
      </c>
      <c r="B1322" s="501"/>
      <c r="C1322" s="501"/>
      <c r="D1322" s="113">
        <v>60</v>
      </c>
      <c r="E1322" s="36">
        <v>4.9</v>
      </c>
      <c r="F1322" s="36">
        <v>0.8</v>
      </c>
      <c r="G1322" s="36">
        <v>22.7</v>
      </c>
      <c r="H1322" s="75">
        <v>117</v>
      </c>
      <c r="I1322" s="192">
        <v>0</v>
      </c>
      <c r="J1322" s="263" t="s">
        <v>352</v>
      </c>
      <c r="K1322" s="64"/>
      <c r="L1322" s="29"/>
      <c r="M1322" s="82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</row>
    <row r="1323" spans="1:36" s="18" customFormat="1" ht="24.75" customHeight="1">
      <c r="A1323" s="506" t="s">
        <v>70</v>
      </c>
      <c r="B1323" s="506"/>
      <c r="C1323" s="506"/>
      <c r="D1323" s="227">
        <v>70</v>
      </c>
      <c r="E1323" s="201">
        <v>4.62</v>
      </c>
      <c r="F1323" s="201">
        <v>0.84</v>
      </c>
      <c r="G1323" s="201">
        <v>23.38</v>
      </c>
      <c r="H1323" s="202">
        <v>119</v>
      </c>
      <c r="I1323" s="263">
        <v>0</v>
      </c>
      <c r="J1323" s="288"/>
      <c r="K1323" s="64"/>
      <c r="L1323" s="29"/>
      <c r="M1323" s="82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</row>
    <row r="1324" spans="1:36" s="18" customFormat="1" ht="24.75" customHeight="1">
      <c r="A1324" s="113" t="s">
        <v>59</v>
      </c>
      <c r="B1324" s="113"/>
      <c r="C1324" s="113"/>
      <c r="D1324" s="113"/>
      <c r="E1324" s="36">
        <f>SUM(E1325:E1327)</f>
        <v>1.6</v>
      </c>
      <c r="F1324" s="36">
        <f>SUM(F1325:F1327)</f>
        <v>1.6</v>
      </c>
      <c r="G1324" s="36">
        <f>SUM(G1325:G1327)</f>
        <v>68.6</v>
      </c>
      <c r="H1324" s="75">
        <f>SUM(H1325:H1327)</f>
        <v>295.20000000000005</v>
      </c>
      <c r="I1324" s="192">
        <f>SUM(I1325:I1327)</f>
        <v>19</v>
      </c>
      <c r="J1324" s="288"/>
      <c r="K1324" s="64"/>
      <c r="L1324" s="29"/>
      <c r="M1324" s="82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</row>
    <row r="1325" spans="1:36" s="18" customFormat="1" ht="24.75" customHeight="1">
      <c r="A1325" s="495" t="s">
        <v>563</v>
      </c>
      <c r="B1325" s="495"/>
      <c r="C1325" s="495"/>
      <c r="D1325" s="282">
        <v>90</v>
      </c>
      <c r="E1325" s="292">
        <v>1.5</v>
      </c>
      <c r="F1325" s="292">
        <v>1.6</v>
      </c>
      <c r="G1325" s="292">
        <v>46.6</v>
      </c>
      <c r="H1325" s="75">
        <f>E1325*4+F1325*9+G1325*4</f>
        <v>206.8</v>
      </c>
      <c r="I1325" s="192">
        <v>0</v>
      </c>
      <c r="J1325" s="286"/>
      <c r="K1325" s="64"/>
      <c r="L1325" s="29"/>
      <c r="M1325" s="82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</row>
    <row r="1326" spans="1:36" s="18" customFormat="1" ht="40.5" customHeight="1">
      <c r="A1326" s="513" t="s">
        <v>390</v>
      </c>
      <c r="B1326" s="513"/>
      <c r="C1326" s="513"/>
      <c r="D1326" s="282"/>
      <c r="E1326" s="292"/>
      <c r="F1326" s="292"/>
      <c r="G1326" s="292"/>
      <c r="H1326" s="75"/>
      <c r="I1326" s="192"/>
      <c r="J1326" s="192"/>
      <c r="K1326" s="64"/>
      <c r="L1326" s="29"/>
      <c r="M1326" s="82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</row>
    <row r="1327" spans="1:36" s="18" customFormat="1" ht="78.75" customHeight="1">
      <c r="A1327" s="483" t="s">
        <v>487</v>
      </c>
      <c r="B1327" s="483"/>
      <c r="C1327" s="483"/>
      <c r="D1327" s="113">
        <v>200</v>
      </c>
      <c r="E1327" s="201">
        <v>0.1</v>
      </c>
      <c r="F1327" s="201">
        <v>0</v>
      </c>
      <c r="G1327" s="201">
        <v>22</v>
      </c>
      <c r="H1327" s="202">
        <f>E1327*4+F1327*9+G1327*4</f>
        <v>88.4</v>
      </c>
      <c r="I1327" s="263">
        <v>19</v>
      </c>
      <c r="J1327" s="263"/>
      <c r="K1327" s="64"/>
      <c r="L1327" s="29"/>
      <c r="M1327" s="82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</row>
    <row r="1328" spans="1:36" s="18" customFormat="1" ht="24.75" customHeight="1">
      <c r="A1328" s="113" t="s">
        <v>30</v>
      </c>
      <c r="B1328" s="113"/>
      <c r="C1328" s="113"/>
      <c r="D1328" s="113"/>
      <c r="E1328" s="36">
        <f>E1329+E1330+E1340+E1352+E1355+E1356</f>
        <v>26.570000000000004</v>
      </c>
      <c r="F1328" s="36">
        <f>F1329+F1330+F1340+F1352+F1355+F1356</f>
        <v>20.990000000000002</v>
      </c>
      <c r="G1328" s="36">
        <f>G1329+G1330+G1340+G1352+G1355+G1356</f>
        <v>64.71</v>
      </c>
      <c r="H1328" s="75">
        <f>H1329+H1330+H1340+H1352+H1355+H1356</f>
        <v>640.52</v>
      </c>
      <c r="I1328" s="192">
        <f>I1329+I1330+I1340+I1352+I1355+I1356</f>
        <v>9.223076923076924</v>
      </c>
      <c r="J1328" s="36"/>
      <c r="K1328" s="64"/>
      <c r="L1328" s="29"/>
      <c r="M1328" s="82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</row>
    <row r="1329" spans="1:10" ht="24.75" customHeight="1">
      <c r="A1329" s="501" t="s">
        <v>268</v>
      </c>
      <c r="B1329" s="501"/>
      <c r="C1329" s="501"/>
      <c r="D1329" s="227">
        <v>40</v>
      </c>
      <c r="E1329" s="201">
        <v>4.78</v>
      </c>
      <c r="F1329" s="201">
        <v>4.05</v>
      </c>
      <c r="G1329" s="201">
        <v>0.25</v>
      </c>
      <c r="H1329" s="202">
        <v>56.5</v>
      </c>
      <c r="I1329" s="192">
        <v>0</v>
      </c>
      <c r="J1329" s="192"/>
    </row>
    <row r="1330" spans="1:36" s="18" customFormat="1" ht="39.75" customHeight="1">
      <c r="A1330" s="501" t="s">
        <v>560</v>
      </c>
      <c r="B1330" s="501"/>
      <c r="C1330" s="501"/>
      <c r="D1330" s="113" t="s">
        <v>581</v>
      </c>
      <c r="E1330" s="36">
        <v>12.27</v>
      </c>
      <c r="F1330" s="36">
        <v>9</v>
      </c>
      <c r="G1330" s="36">
        <v>2.9</v>
      </c>
      <c r="H1330" s="352">
        <v>169</v>
      </c>
      <c r="I1330" s="386">
        <v>0.4230769230769231</v>
      </c>
      <c r="J1330" s="385" t="s">
        <v>334</v>
      </c>
      <c r="K1330" s="64"/>
      <c r="L1330" s="29"/>
      <c r="M1330" s="82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</row>
    <row r="1331" spans="1:36" s="18" customFormat="1" ht="60" customHeight="1">
      <c r="A1331" s="326" t="s">
        <v>152</v>
      </c>
      <c r="B1331" s="300">
        <f>C1331*1.5</f>
        <v>115.5</v>
      </c>
      <c r="C1331" s="317">
        <v>77</v>
      </c>
      <c r="D1331" s="272"/>
      <c r="E1331" s="287"/>
      <c r="F1331" s="287"/>
      <c r="G1331" s="287"/>
      <c r="H1331" s="290"/>
      <c r="I1331" s="364"/>
      <c r="J1331" s="411"/>
      <c r="K1331" s="64"/>
      <c r="L1331" s="29"/>
      <c r="M1331" s="82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</row>
    <row r="1332" spans="1:36" s="18" customFormat="1" ht="24.75" customHeight="1">
      <c r="A1332" s="326" t="s">
        <v>160</v>
      </c>
      <c r="B1332" s="300">
        <f>C1332*1.82</f>
        <v>140.14000000000001</v>
      </c>
      <c r="C1332" s="317">
        <v>77</v>
      </c>
      <c r="D1332" s="272"/>
      <c r="E1332" s="286"/>
      <c r="F1332" s="286"/>
      <c r="G1332" s="286"/>
      <c r="H1332" s="75"/>
      <c r="I1332" s="192"/>
      <c r="J1332" s="263"/>
      <c r="K1332" s="64"/>
      <c r="L1332" s="29"/>
      <c r="M1332" s="82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</row>
    <row r="1333" spans="1:36" s="18" customFormat="1" ht="24.75" customHeight="1">
      <c r="A1333" s="326" t="s">
        <v>115</v>
      </c>
      <c r="B1333" s="300">
        <f>C1333*1.35</f>
        <v>103.95</v>
      </c>
      <c r="C1333" s="317">
        <v>77</v>
      </c>
      <c r="D1333" s="272"/>
      <c r="E1333" s="286"/>
      <c r="F1333" s="286"/>
      <c r="G1333" s="286"/>
      <c r="H1333" s="75"/>
      <c r="I1333" s="192"/>
      <c r="J1333" s="263"/>
      <c r="K1333" s="64"/>
      <c r="L1333" s="29"/>
      <c r="M1333" s="82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</row>
    <row r="1334" spans="1:36" s="18" customFormat="1" ht="24.75" customHeight="1">
      <c r="A1334" s="285" t="s">
        <v>162</v>
      </c>
      <c r="B1334" s="290">
        <v>6</v>
      </c>
      <c r="C1334" s="317">
        <v>6</v>
      </c>
      <c r="D1334" s="272"/>
      <c r="E1334" s="286"/>
      <c r="F1334" s="36"/>
      <c r="G1334" s="36"/>
      <c r="H1334" s="75"/>
      <c r="I1334" s="192"/>
      <c r="J1334" s="263"/>
      <c r="K1334" s="64"/>
      <c r="L1334" s="29"/>
      <c r="M1334" s="82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</row>
    <row r="1335" spans="1:36" s="18" customFormat="1" ht="24.75" customHeight="1">
      <c r="A1335" s="285" t="s">
        <v>449</v>
      </c>
      <c r="B1335" s="287">
        <v>23.8</v>
      </c>
      <c r="C1335" s="290">
        <v>20</v>
      </c>
      <c r="D1335" s="272"/>
      <c r="E1335" s="286"/>
      <c r="F1335" s="287"/>
      <c r="G1335" s="287"/>
      <c r="H1335" s="290"/>
      <c r="I1335" s="364"/>
      <c r="J1335" s="411"/>
      <c r="K1335" s="64"/>
      <c r="L1335" s="29"/>
      <c r="M1335" s="82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</row>
    <row r="1336" spans="1:36" s="18" customFormat="1" ht="24.75" customHeight="1">
      <c r="A1336" s="285" t="s">
        <v>108</v>
      </c>
      <c r="B1336" s="290">
        <v>7</v>
      </c>
      <c r="C1336" s="290">
        <v>7</v>
      </c>
      <c r="D1336" s="272"/>
      <c r="E1336" s="286"/>
      <c r="F1336" s="287"/>
      <c r="G1336" s="287"/>
      <c r="H1336" s="290"/>
      <c r="I1336" s="364"/>
      <c r="J1336" s="411"/>
      <c r="K1336" s="158"/>
      <c r="L1336" s="29"/>
      <c r="M1336" s="82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</row>
    <row r="1337" spans="1:36" s="18" customFormat="1" ht="24.75" customHeight="1">
      <c r="A1337" s="269" t="s">
        <v>29</v>
      </c>
      <c r="B1337" s="288">
        <v>3.6</v>
      </c>
      <c r="C1337" s="456">
        <v>3.6</v>
      </c>
      <c r="D1337" s="272"/>
      <c r="E1337" s="286"/>
      <c r="F1337" s="287"/>
      <c r="G1337" s="287"/>
      <c r="H1337" s="290"/>
      <c r="I1337" s="364"/>
      <c r="J1337" s="411"/>
      <c r="K1337" s="64"/>
      <c r="L1337" s="29"/>
      <c r="M1337" s="82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</row>
    <row r="1338" spans="1:11" s="108" customFormat="1" ht="24.75" customHeight="1">
      <c r="A1338" s="285" t="s">
        <v>20</v>
      </c>
      <c r="B1338" s="290">
        <v>9</v>
      </c>
      <c r="C1338" s="317">
        <v>9</v>
      </c>
      <c r="D1338" s="272"/>
      <c r="E1338" s="286"/>
      <c r="F1338" s="287"/>
      <c r="G1338" s="287"/>
      <c r="H1338" s="290"/>
      <c r="I1338" s="364"/>
      <c r="J1338" s="411"/>
      <c r="K1338" s="64"/>
    </row>
    <row r="1339" spans="1:36" s="18" customFormat="1" ht="24.75" customHeight="1">
      <c r="A1339" s="269" t="s">
        <v>27</v>
      </c>
      <c r="B1339" s="290">
        <v>5</v>
      </c>
      <c r="C1339" s="317">
        <v>5</v>
      </c>
      <c r="D1339" s="272"/>
      <c r="E1339" s="286"/>
      <c r="F1339" s="287"/>
      <c r="G1339" s="287"/>
      <c r="H1339" s="290"/>
      <c r="I1339" s="364"/>
      <c r="J1339" s="411"/>
      <c r="K1339" s="64"/>
      <c r="L1339" s="29"/>
      <c r="M1339" s="82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</row>
    <row r="1340" spans="1:10" ht="24.75" customHeight="1">
      <c r="A1340" s="501" t="s">
        <v>422</v>
      </c>
      <c r="B1340" s="501"/>
      <c r="C1340" s="501"/>
      <c r="D1340" s="113">
        <v>200</v>
      </c>
      <c r="E1340" s="201">
        <v>3.3</v>
      </c>
      <c r="F1340" s="201">
        <v>6.9</v>
      </c>
      <c r="G1340" s="201">
        <v>17</v>
      </c>
      <c r="H1340" s="202">
        <f>E1340*4+F1340*9+G1340*4</f>
        <v>143.3</v>
      </c>
      <c r="I1340" s="263">
        <v>8.8</v>
      </c>
      <c r="J1340" s="288"/>
    </row>
    <row r="1341" spans="1:36" s="18" customFormat="1" ht="24.75" customHeight="1">
      <c r="A1341" s="285" t="s">
        <v>25</v>
      </c>
      <c r="B1341" s="290">
        <f>C1341*1.25</f>
        <v>43.75</v>
      </c>
      <c r="C1341" s="290">
        <v>35</v>
      </c>
      <c r="D1341" s="75"/>
      <c r="E1341" s="201"/>
      <c r="F1341" s="201"/>
      <c r="G1341" s="201"/>
      <c r="H1341" s="202"/>
      <c r="I1341" s="263"/>
      <c r="J1341" s="288"/>
      <c r="K1341" s="64"/>
      <c r="L1341" s="29"/>
      <c r="M1341" s="82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</row>
    <row r="1342" spans="1:10" ht="24.75" customHeight="1">
      <c r="A1342" s="285" t="s">
        <v>19</v>
      </c>
      <c r="B1342" s="290">
        <f>C1342*1.33</f>
        <v>46.550000000000004</v>
      </c>
      <c r="C1342" s="290">
        <v>35</v>
      </c>
      <c r="D1342" s="113"/>
      <c r="E1342" s="201"/>
      <c r="F1342" s="201"/>
      <c r="G1342" s="201"/>
      <c r="H1342" s="202"/>
      <c r="I1342" s="263"/>
      <c r="J1342" s="288"/>
    </row>
    <row r="1343" spans="1:10" ht="24.75" customHeight="1">
      <c r="A1343" s="269" t="s">
        <v>21</v>
      </c>
      <c r="B1343" s="290">
        <f>C1343*1.33</f>
        <v>126.35000000000001</v>
      </c>
      <c r="C1343" s="270">
        <v>95</v>
      </c>
      <c r="D1343" s="281"/>
      <c r="E1343" s="283"/>
      <c r="F1343" s="283"/>
      <c r="G1343" s="283"/>
      <c r="H1343" s="281"/>
      <c r="I1343" s="284"/>
      <c r="J1343" s="288"/>
    </row>
    <row r="1344" spans="1:36" s="18" customFormat="1" ht="24.75" customHeight="1">
      <c r="A1344" s="269" t="s">
        <v>22</v>
      </c>
      <c r="B1344" s="290">
        <f>C1344*1.43</f>
        <v>135.85</v>
      </c>
      <c r="C1344" s="270">
        <v>95</v>
      </c>
      <c r="D1344" s="75"/>
      <c r="E1344" s="36"/>
      <c r="F1344" s="36"/>
      <c r="G1344" s="36"/>
      <c r="H1344" s="75"/>
      <c r="I1344" s="192"/>
      <c r="J1344" s="113" t="s">
        <v>421</v>
      </c>
      <c r="K1344" s="64"/>
      <c r="L1344" s="29"/>
      <c r="M1344" s="82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</row>
    <row r="1345" spans="1:36" s="18" customFormat="1" ht="24.75" customHeight="1">
      <c r="A1345" s="285" t="s">
        <v>23</v>
      </c>
      <c r="B1345" s="290">
        <f>C1345*1.54</f>
        <v>146.3</v>
      </c>
      <c r="C1345" s="270">
        <v>95</v>
      </c>
      <c r="D1345" s="75"/>
      <c r="E1345" s="36"/>
      <c r="F1345" s="36"/>
      <c r="G1345" s="36"/>
      <c r="H1345" s="75"/>
      <c r="I1345" s="192"/>
      <c r="J1345" s="113"/>
      <c r="K1345" s="64"/>
      <c r="L1345" s="29"/>
      <c r="M1345" s="82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</row>
    <row r="1346" spans="1:36" s="18" customFormat="1" ht="24.75" customHeight="1">
      <c r="A1346" s="285" t="s">
        <v>24</v>
      </c>
      <c r="B1346" s="290">
        <f>C1346*1.67</f>
        <v>158.65</v>
      </c>
      <c r="C1346" s="270">
        <v>95</v>
      </c>
      <c r="D1346" s="75"/>
      <c r="E1346" s="36"/>
      <c r="F1346" s="36"/>
      <c r="G1346" s="36"/>
      <c r="H1346" s="75"/>
      <c r="I1346" s="192"/>
      <c r="J1346" s="113"/>
      <c r="K1346" s="64"/>
      <c r="L1346" s="29"/>
      <c r="M1346" s="82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</row>
    <row r="1347" spans="1:36" s="18" customFormat="1" ht="24.75" customHeight="1">
      <c r="A1347" s="304" t="s">
        <v>418</v>
      </c>
      <c r="B1347" s="265">
        <f>C1347*1.54</f>
        <v>69.3</v>
      </c>
      <c r="C1347" s="265">
        <v>45</v>
      </c>
      <c r="D1347" s="265"/>
      <c r="E1347" s="266"/>
      <c r="F1347" s="266"/>
      <c r="G1347" s="266"/>
      <c r="H1347" s="266"/>
      <c r="I1347" s="441"/>
      <c r="J1347" s="284"/>
      <c r="K1347" s="64"/>
      <c r="L1347" s="29"/>
      <c r="M1347" s="82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</row>
    <row r="1348" spans="1:36" s="18" customFormat="1" ht="24.75" customHeight="1">
      <c r="A1348" s="264" t="s">
        <v>384</v>
      </c>
      <c r="B1348" s="167">
        <v>68</v>
      </c>
      <c r="C1348" s="265">
        <v>55</v>
      </c>
      <c r="D1348" s="265"/>
      <c r="E1348" s="266"/>
      <c r="F1348" s="266"/>
      <c r="G1348" s="266"/>
      <c r="H1348" s="266"/>
      <c r="I1348" s="250"/>
      <c r="J1348" s="192"/>
      <c r="K1348" s="64"/>
      <c r="L1348" s="29"/>
      <c r="M1348" s="82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</row>
    <row r="1349" spans="1:36" s="18" customFormat="1" ht="24.75" customHeight="1">
      <c r="A1349" s="285" t="s">
        <v>26</v>
      </c>
      <c r="B1349" s="290">
        <f>C1349*1.19</f>
        <v>23.799999999999997</v>
      </c>
      <c r="C1349" s="290">
        <v>20</v>
      </c>
      <c r="D1349" s="75"/>
      <c r="E1349" s="36"/>
      <c r="F1349" s="287"/>
      <c r="G1349" s="287"/>
      <c r="H1349" s="290"/>
      <c r="I1349" s="288"/>
      <c r="J1349" s="192"/>
      <c r="K1349" s="64"/>
      <c r="L1349" s="29"/>
      <c r="M1349" s="82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</row>
    <row r="1350" spans="1:36" s="18" customFormat="1" ht="24.75" customHeight="1">
      <c r="A1350" s="269" t="s">
        <v>116</v>
      </c>
      <c r="B1350" s="271">
        <f>C1350*1.28</f>
        <v>1.28</v>
      </c>
      <c r="C1350" s="270">
        <v>1</v>
      </c>
      <c r="D1350" s="270"/>
      <c r="E1350" s="271"/>
      <c r="F1350" s="271"/>
      <c r="G1350" s="271"/>
      <c r="H1350" s="271"/>
      <c r="I1350" s="309"/>
      <c r="J1350" s="192"/>
      <c r="K1350" s="64"/>
      <c r="L1350" s="29"/>
      <c r="M1350" s="82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</row>
    <row r="1351" spans="1:36" s="18" customFormat="1" ht="24.75" customHeight="1">
      <c r="A1351" s="285" t="s">
        <v>20</v>
      </c>
      <c r="B1351" s="290">
        <v>8</v>
      </c>
      <c r="C1351" s="290">
        <v>8</v>
      </c>
      <c r="D1351" s="75"/>
      <c r="E1351" s="36"/>
      <c r="F1351" s="287"/>
      <c r="G1351" s="287"/>
      <c r="H1351" s="290"/>
      <c r="I1351" s="288"/>
      <c r="J1351" s="417"/>
      <c r="K1351" s="64"/>
      <c r="L1351" s="29"/>
      <c r="M1351" s="82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</row>
    <row r="1352" spans="1:36" s="18" customFormat="1" ht="24.75" customHeight="1">
      <c r="A1352" s="262" t="s">
        <v>247</v>
      </c>
      <c r="B1352" s="270"/>
      <c r="C1352" s="270"/>
      <c r="D1352" s="113" t="s">
        <v>204</v>
      </c>
      <c r="E1352" s="36">
        <v>0.3</v>
      </c>
      <c r="F1352" s="36">
        <v>0</v>
      </c>
      <c r="G1352" s="36">
        <v>16</v>
      </c>
      <c r="H1352" s="75">
        <v>125</v>
      </c>
      <c r="I1352" s="192">
        <v>0</v>
      </c>
      <c r="J1352" s="400"/>
      <c r="K1352" s="64"/>
      <c r="L1352" s="29"/>
      <c r="M1352" s="82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</row>
    <row r="1353" spans="1:36" s="18" customFormat="1" ht="24.75" customHeight="1">
      <c r="A1353" s="269" t="s">
        <v>16</v>
      </c>
      <c r="B1353" s="270">
        <v>0.4</v>
      </c>
      <c r="C1353" s="270">
        <v>0.4</v>
      </c>
      <c r="D1353" s="270"/>
      <c r="E1353" s="271"/>
      <c r="F1353" s="271"/>
      <c r="G1353" s="271"/>
      <c r="H1353" s="272"/>
      <c r="I1353" s="273"/>
      <c r="J1353" s="288"/>
      <c r="K1353" s="64"/>
      <c r="L1353" s="29"/>
      <c r="M1353" s="82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</row>
    <row r="1354" spans="1:36" s="18" customFormat="1" ht="24.75" customHeight="1">
      <c r="A1354" s="269" t="s">
        <v>397</v>
      </c>
      <c r="B1354" s="270">
        <v>20</v>
      </c>
      <c r="C1354" s="270">
        <v>20</v>
      </c>
      <c r="D1354" s="270"/>
      <c r="E1354" s="271"/>
      <c r="F1354" s="271"/>
      <c r="G1354" s="271"/>
      <c r="H1354" s="271"/>
      <c r="I1354" s="273"/>
      <c r="J1354" s="400"/>
      <c r="K1354" s="64"/>
      <c r="L1354" s="29"/>
      <c r="M1354" s="82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</row>
    <row r="1355" spans="1:36" s="18" customFormat="1" ht="24.75" customHeight="1">
      <c r="A1355" s="506" t="s">
        <v>70</v>
      </c>
      <c r="B1355" s="506"/>
      <c r="C1355" s="506"/>
      <c r="D1355" s="227">
        <v>40</v>
      </c>
      <c r="E1355" s="201">
        <v>2.64</v>
      </c>
      <c r="F1355" s="201">
        <v>0.48</v>
      </c>
      <c r="G1355" s="201">
        <v>13.36</v>
      </c>
      <c r="H1355" s="202">
        <v>68.32</v>
      </c>
      <c r="I1355" s="263">
        <v>0</v>
      </c>
      <c r="J1355" s="288"/>
      <c r="K1355" s="64"/>
      <c r="L1355" s="29"/>
      <c r="M1355" s="82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</row>
    <row r="1356" spans="1:36" s="18" customFormat="1" ht="24.75" customHeight="1">
      <c r="A1356" s="501" t="s">
        <v>267</v>
      </c>
      <c r="B1356" s="501"/>
      <c r="C1356" s="501"/>
      <c r="D1356" s="113">
        <v>20</v>
      </c>
      <c r="E1356" s="36">
        <v>3.2800000000000002</v>
      </c>
      <c r="F1356" s="36">
        <v>0.56</v>
      </c>
      <c r="G1356" s="36">
        <v>15.2</v>
      </c>
      <c r="H1356" s="75">
        <v>78.4</v>
      </c>
      <c r="I1356" s="192">
        <v>0</v>
      </c>
      <c r="J1356" s="192" t="s">
        <v>344</v>
      </c>
      <c r="K1356" s="64"/>
      <c r="L1356" s="29"/>
      <c r="M1356" s="82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</row>
    <row r="1357" spans="1:36" s="18" customFormat="1" ht="24.75" customHeight="1">
      <c r="A1357" s="426" t="s">
        <v>220</v>
      </c>
      <c r="B1357" s="427"/>
      <c r="C1357" s="427"/>
      <c r="D1357" s="427"/>
      <c r="E1357" s="427"/>
      <c r="F1357" s="427"/>
      <c r="G1357" s="427"/>
      <c r="H1357" s="427"/>
      <c r="I1357" s="427"/>
      <c r="J1357" s="273"/>
      <c r="K1357" s="158"/>
      <c r="L1357" s="29"/>
      <c r="M1357" s="82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</row>
    <row r="1358" spans="1:36" s="18" customFormat="1" ht="24.75" customHeight="1">
      <c r="A1358" s="332" t="s">
        <v>246</v>
      </c>
      <c r="B1358" s="265">
        <v>206</v>
      </c>
      <c r="C1358" s="281">
        <v>200</v>
      </c>
      <c r="D1358" s="227">
        <v>200</v>
      </c>
      <c r="E1358" s="201">
        <v>4.2</v>
      </c>
      <c r="F1358" s="201">
        <v>4.8</v>
      </c>
      <c r="G1358" s="201">
        <v>8</v>
      </c>
      <c r="H1358" s="202">
        <f>E1358*4+F1358*9+G1358*4</f>
        <v>92</v>
      </c>
      <c r="I1358" s="263">
        <v>1.37</v>
      </c>
      <c r="J1358" s="271"/>
      <c r="K1358" s="64"/>
      <c r="L1358" s="29"/>
      <c r="M1358" s="82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</row>
    <row r="1359" spans="1:36" s="18" customFormat="1" ht="24.75" customHeight="1">
      <c r="A1359" s="333" t="s">
        <v>140</v>
      </c>
      <c r="B1359" s="333"/>
      <c r="C1359" s="333"/>
      <c r="D1359" s="333"/>
      <c r="E1359" s="334">
        <f>E1357+E1328+E1324+E1285+E1262+E1283</f>
        <v>82.62383625730993</v>
      </c>
      <c r="F1359" s="334">
        <f>F1357+F1328+F1324+F1285+F1262+F1283</f>
        <v>78.87</v>
      </c>
      <c r="G1359" s="334">
        <f>G1357+G1328+G1324+G1285+G1262+G1283</f>
        <v>374.37</v>
      </c>
      <c r="H1359" s="352">
        <f>H1357+H1328+H1324+H1285+H1262+H1283</f>
        <v>2619.13534502924</v>
      </c>
      <c r="I1359" s="386">
        <f>I1357+I1328+I1324+I1285+I1262+I1283</f>
        <v>69.70307692307692</v>
      </c>
      <c r="J1359" s="263"/>
      <c r="K1359" s="64"/>
      <c r="L1359" s="29"/>
      <c r="M1359" s="82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</row>
    <row r="1360" spans="1:36" s="18" customFormat="1" ht="24.75" customHeight="1">
      <c r="A1360" s="429" t="s">
        <v>32</v>
      </c>
      <c r="B1360" s="430"/>
      <c r="C1360" s="430"/>
      <c r="D1360" s="430"/>
      <c r="E1360" s="430"/>
      <c r="F1360" s="430"/>
      <c r="G1360" s="430"/>
      <c r="H1360" s="430"/>
      <c r="I1360" s="430"/>
      <c r="J1360" s="192"/>
      <c r="K1360" s="64"/>
      <c r="L1360" s="29"/>
      <c r="M1360" s="82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</row>
    <row r="1361" spans="1:36" s="18" customFormat="1" ht="24.75" customHeight="1">
      <c r="A1361" s="429" t="s">
        <v>98</v>
      </c>
      <c r="B1361" s="430"/>
      <c r="C1361" s="430"/>
      <c r="D1361" s="430"/>
      <c r="E1361" s="430"/>
      <c r="F1361" s="430"/>
      <c r="G1361" s="430"/>
      <c r="H1361" s="430"/>
      <c r="I1361" s="430"/>
      <c r="J1361" s="428"/>
      <c r="K1361" s="64"/>
      <c r="L1361" s="29"/>
      <c r="M1361" s="82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</row>
    <row r="1362" spans="1:36" s="18" customFormat="1" ht="51.75" customHeight="1">
      <c r="A1362" s="498" t="s">
        <v>2</v>
      </c>
      <c r="B1362" s="497" t="s">
        <v>3</v>
      </c>
      <c r="C1362" s="497" t="s">
        <v>4</v>
      </c>
      <c r="D1362" s="498" t="s">
        <v>5</v>
      </c>
      <c r="E1362" s="498"/>
      <c r="F1362" s="498"/>
      <c r="G1362" s="498"/>
      <c r="H1362" s="498"/>
      <c r="I1362" s="498"/>
      <c r="J1362" s="263" t="s">
        <v>364</v>
      </c>
      <c r="K1362" s="64"/>
      <c r="L1362" s="29"/>
      <c r="M1362" s="82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</row>
    <row r="1363" spans="1:36" s="18" customFormat="1" ht="24.75" customHeight="1">
      <c r="A1363" s="498"/>
      <c r="B1363" s="497"/>
      <c r="C1363" s="497"/>
      <c r="D1363" s="497" t="s">
        <v>6</v>
      </c>
      <c r="E1363" s="485" t="s">
        <v>7</v>
      </c>
      <c r="F1363" s="485" t="s">
        <v>8</v>
      </c>
      <c r="G1363" s="485" t="s">
        <v>9</v>
      </c>
      <c r="H1363" s="494" t="s">
        <v>10</v>
      </c>
      <c r="I1363" s="527" t="s">
        <v>303</v>
      </c>
      <c r="J1363" s="334"/>
      <c r="K1363" s="64"/>
      <c r="L1363" s="29"/>
      <c r="M1363" s="82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</row>
    <row r="1364" spans="1:36" s="18" customFormat="1" ht="24.75" customHeight="1">
      <c r="A1364" s="498"/>
      <c r="B1364" s="497"/>
      <c r="C1364" s="497"/>
      <c r="D1364" s="497"/>
      <c r="E1364" s="485"/>
      <c r="F1364" s="485"/>
      <c r="G1364" s="485"/>
      <c r="H1364" s="494"/>
      <c r="I1364" s="527"/>
      <c r="J1364" s="431"/>
      <c r="K1364" s="64"/>
      <c r="L1364" s="29"/>
      <c r="M1364" s="82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</row>
    <row r="1365" spans="1:36" s="18" customFormat="1" ht="24.75" customHeight="1">
      <c r="A1365" s="113" t="s">
        <v>11</v>
      </c>
      <c r="B1365" s="113"/>
      <c r="C1365" s="113"/>
      <c r="D1365" s="113"/>
      <c r="E1365" s="36">
        <f>SUM(E1366:E1391)</f>
        <v>13.1</v>
      </c>
      <c r="F1365" s="36">
        <f>SUM(F1366:F1391)</f>
        <v>24</v>
      </c>
      <c r="G1365" s="36">
        <f>SUM(G1366:G1391)</f>
        <v>84.2</v>
      </c>
      <c r="H1365" s="75">
        <f>SUM(H1366:H1391)</f>
        <v>605.1999999999999</v>
      </c>
      <c r="I1365" s="192">
        <f>SUM(I1366:I1391)</f>
        <v>13.22</v>
      </c>
      <c r="J1365" s="431"/>
      <c r="K1365" s="64"/>
      <c r="L1365" s="29"/>
      <c r="M1365" s="82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</row>
    <row r="1366" spans="1:36" s="18" customFormat="1" ht="24.75" customHeight="1">
      <c r="A1366" s="496" t="s">
        <v>325</v>
      </c>
      <c r="B1366" s="496"/>
      <c r="C1366" s="496"/>
      <c r="D1366" s="374">
        <v>250</v>
      </c>
      <c r="E1366" s="201">
        <v>4.4</v>
      </c>
      <c r="F1366" s="201">
        <v>5.4</v>
      </c>
      <c r="G1366" s="201">
        <v>17.5</v>
      </c>
      <c r="H1366" s="202">
        <f>G1366*4+F1366*9+E1366*4</f>
        <v>136.2</v>
      </c>
      <c r="I1366" s="263">
        <v>0.7</v>
      </c>
      <c r="J1366" s="526" t="s">
        <v>302</v>
      </c>
      <c r="K1366" s="64"/>
      <c r="L1366" s="29"/>
      <c r="M1366" s="82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</row>
    <row r="1367" spans="1:36" s="18" customFormat="1" ht="24.75" customHeight="1">
      <c r="A1367" s="264" t="s">
        <v>148</v>
      </c>
      <c r="B1367" s="402">
        <v>125</v>
      </c>
      <c r="C1367" s="402">
        <v>125</v>
      </c>
      <c r="D1367" s="227"/>
      <c r="E1367" s="201"/>
      <c r="F1367" s="201"/>
      <c r="G1367" s="201"/>
      <c r="H1367" s="227"/>
      <c r="I1367" s="267"/>
      <c r="J1367" s="526"/>
      <c r="K1367" s="64"/>
      <c r="L1367" s="29"/>
      <c r="M1367" s="82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</row>
    <row r="1368" spans="1:36" s="18" customFormat="1" ht="24.75" customHeight="1">
      <c r="A1368" s="264" t="s">
        <v>108</v>
      </c>
      <c r="B1368" s="402">
        <v>138</v>
      </c>
      <c r="C1368" s="402">
        <v>138</v>
      </c>
      <c r="D1368" s="227"/>
      <c r="E1368" s="201"/>
      <c r="F1368" s="201"/>
      <c r="G1368" s="201"/>
      <c r="H1368" s="227"/>
      <c r="I1368" s="267"/>
      <c r="J1368" s="526"/>
      <c r="K1368" s="64"/>
      <c r="L1368" s="29"/>
      <c r="M1368" s="82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</row>
    <row r="1369" spans="1:36" s="18" customFormat="1" ht="33" customHeight="1">
      <c r="A1369" s="415" t="s">
        <v>327</v>
      </c>
      <c r="B1369" s="343">
        <v>15</v>
      </c>
      <c r="C1369" s="343">
        <v>15</v>
      </c>
      <c r="D1369" s="343"/>
      <c r="E1369" s="342"/>
      <c r="F1369" s="342"/>
      <c r="G1369" s="342"/>
      <c r="H1369" s="343"/>
      <c r="I1369" s="273"/>
      <c r="J1369" s="36"/>
      <c r="K1369" s="64"/>
      <c r="L1369" s="29"/>
      <c r="M1369" s="82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</row>
    <row r="1370" spans="1:36" s="18" customFormat="1" ht="36.75" customHeight="1">
      <c r="A1370" s="415" t="s">
        <v>328</v>
      </c>
      <c r="B1370" s="343">
        <v>20</v>
      </c>
      <c r="C1370" s="343">
        <v>20</v>
      </c>
      <c r="D1370" s="343"/>
      <c r="E1370" s="342"/>
      <c r="F1370" s="342"/>
      <c r="G1370" s="342"/>
      <c r="H1370" s="343"/>
      <c r="I1370" s="273"/>
      <c r="J1370" s="263" t="s">
        <v>326</v>
      </c>
      <c r="K1370" s="64"/>
      <c r="L1370" s="29"/>
      <c r="M1370" s="82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</row>
    <row r="1371" spans="1:36" s="18" customFormat="1" ht="24.75" customHeight="1">
      <c r="A1371" s="339" t="s">
        <v>27</v>
      </c>
      <c r="B1371" s="340">
        <v>2</v>
      </c>
      <c r="C1371" s="340">
        <v>2</v>
      </c>
      <c r="D1371" s="374"/>
      <c r="E1371" s="336"/>
      <c r="F1371" s="342"/>
      <c r="G1371" s="342"/>
      <c r="H1371" s="343"/>
      <c r="I1371" s="273"/>
      <c r="J1371" s="267"/>
      <c r="K1371" s="64"/>
      <c r="L1371" s="29"/>
      <c r="M1371" s="82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</row>
    <row r="1372" spans="1:36" s="18" customFormat="1" ht="24.75" customHeight="1">
      <c r="A1372" s="264" t="s">
        <v>12</v>
      </c>
      <c r="B1372" s="167">
        <v>3</v>
      </c>
      <c r="C1372" s="167">
        <v>3</v>
      </c>
      <c r="D1372" s="227"/>
      <c r="E1372" s="201"/>
      <c r="F1372" s="266"/>
      <c r="G1372" s="266"/>
      <c r="H1372" s="265"/>
      <c r="I1372" s="273"/>
      <c r="J1372" s="267"/>
      <c r="K1372" s="64"/>
      <c r="L1372" s="29"/>
      <c r="M1372" s="82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/>
    </row>
    <row r="1373" spans="1:36" s="18" customFormat="1" ht="24.75" customHeight="1">
      <c r="A1373" s="506" t="s">
        <v>297</v>
      </c>
      <c r="B1373" s="506"/>
      <c r="C1373" s="506"/>
      <c r="D1373" s="374">
        <v>50</v>
      </c>
      <c r="E1373" s="201">
        <v>2.8</v>
      </c>
      <c r="F1373" s="201">
        <v>7.4</v>
      </c>
      <c r="G1373" s="201">
        <v>20.8</v>
      </c>
      <c r="H1373" s="202">
        <f>G1373*4+F1373*9+E1373*4</f>
        <v>161</v>
      </c>
      <c r="I1373" s="411">
        <v>0.02</v>
      </c>
      <c r="J1373" s="273"/>
      <c r="K1373" s="64"/>
      <c r="L1373" s="29"/>
      <c r="M1373" s="82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</row>
    <row r="1374" spans="1:36" s="18" customFormat="1" ht="24.75" customHeight="1">
      <c r="A1374" s="264" t="s">
        <v>28</v>
      </c>
      <c r="B1374" s="167">
        <v>12</v>
      </c>
      <c r="C1374" s="167">
        <v>12</v>
      </c>
      <c r="D1374" s="374"/>
      <c r="E1374" s="336"/>
      <c r="F1374" s="266"/>
      <c r="G1374" s="266"/>
      <c r="H1374" s="265"/>
      <c r="I1374" s="315"/>
      <c r="J1374" s="273"/>
      <c r="K1374" s="64"/>
      <c r="L1374" s="29"/>
      <c r="M1374" s="82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</row>
    <row r="1375" spans="1:10" ht="24.75" customHeight="1">
      <c r="A1375" s="264" t="s">
        <v>29</v>
      </c>
      <c r="B1375" s="167">
        <v>8</v>
      </c>
      <c r="C1375" s="167">
        <v>8</v>
      </c>
      <c r="D1375" s="374"/>
      <c r="E1375" s="336"/>
      <c r="F1375" s="266"/>
      <c r="G1375" s="266"/>
      <c r="H1375" s="265"/>
      <c r="I1375" s="315"/>
      <c r="J1375" s="273"/>
    </row>
    <row r="1376" spans="1:10" ht="24.75" customHeight="1">
      <c r="A1376" s="264" t="s">
        <v>12</v>
      </c>
      <c r="B1376" s="167">
        <v>15</v>
      </c>
      <c r="C1376" s="167">
        <v>15</v>
      </c>
      <c r="D1376" s="374"/>
      <c r="E1376" s="336"/>
      <c r="F1376" s="266"/>
      <c r="G1376" s="266"/>
      <c r="H1376" s="265"/>
      <c r="I1376" s="315"/>
      <c r="J1376" s="273"/>
    </row>
    <row r="1377" spans="1:10" ht="24.75" customHeight="1">
      <c r="A1377" s="339" t="s">
        <v>27</v>
      </c>
      <c r="B1377" s="167">
        <v>4</v>
      </c>
      <c r="C1377" s="167">
        <v>4</v>
      </c>
      <c r="D1377" s="374"/>
      <c r="E1377" s="336"/>
      <c r="F1377" s="266"/>
      <c r="G1377" s="266"/>
      <c r="H1377" s="265"/>
      <c r="I1377" s="315"/>
      <c r="J1377" s="263" t="s">
        <v>334</v>
      </c>
    </row>
    <row r="1378" spans="1:36" s="18" customFormat="1" ht="24.75" customHeight="1">
      <c r="A1378" s="264" t="s">
        <v>93</v>
      </c>
      <c r="B1378" s="167">
        <v>15</v>
      </c>
      <c r="C1378" s="167">
        <v>15</v>
      </c>
      <c r="D1378" s="374"/>
      <c r="E1378" s="336"/>
      <c r="F1378" s="266"/>
      <c r="G1378" s="266"/>
      <c r="H1378" s="265"/>
      <c r="I1378" s="315"/>
      <c r="J1378" s="315"/>
      <c r="K1378" s="64"/>
      <c r="L1378" s="29"/>
      <c r="M1378" s="82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/>
    </row>
    <row r="1379" spans="1:10" ht="24.75" customHeight="1">
      <c r="A1379" s="264" t="s">
        <v>102</v>
      </c>
      <c r="B1379" s="167">
        <v>1</v>
      </c>
      <c r="C1379" s="167">
        <v>1</v>
      </c>
      <c r="D1379" s="374"/>
      <c r="E1379" s="336"/>
      <c r="F1379" s="266"/>
      <c r="G1379" s="266"/>
      <c r="H1379" s="265"/>
      <c r="I1379" s="315"/>
      <c r="J1379" s="315"/>
    </row>
    <row r="1380" spans="1:36" s="18" customFormat="1" ht="24.75" customHeight="1">
      <c r="A1380" s="264" t="s">
        <v>298</v>
      </c>
      <c r="B1380" s="266">
        <v>0.5</v>
      </c>
      <c r="C1380" s="266">
        <v>0.5</v>
      </c>
      <c r="D1380" s="374"/>
      <c r="E1380" s="336"/>
      <c r="F1380" s="266"/>
      <c r="G1380" s="266"/>
      <c r="H1380" s="265"/>
      <c r="I1380" s="315"/>
      <c r="J1380" s="315"/>
      <c r="K1380" s="64"/>
      <c r="L1380" s="29"/>
      <c r="M1380" s="82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/>
    </row>
    <row r="1381" spans="1:10" ht="24.75" customHeight="1">
      <c r="A1381" s="264" t="s">
        <v>103</v>
      </c>
      <c r="B1381" s="266">
        <v>2.5</v>
      </c>
      <c r="C1381" s="266">
        <v>2.5</v>
      </c>
      <c r="D1381" s="374"/>
      <c r="E1381" s="336"/>
      <c r="F1381" s="266"/>
      <c r="G1381" s="266"/>
      <c r="H1381" s="265"/>
      <c r="I1381" s="315"/>
      <c r="J1381" s="315"/>
    </row>
    <row r="1382" spans="1:36" s="18" customFormat="1" ht="24.75" customHeight="1">
      <c r="A1382" s="264" t="s">
        <v>173</v>
      </c>
      <c r="B1382" s="167">
        <v>1</v>
      </c>
      <c r="C1382" s="167">
        <v>1</v>
      </c>
      <c r="D1382" s="374"/>
      <c r="E1382" s="336"/>
      <c r="F1382" s="266"/>
      <c r="G1382" s="266"/>
      <c r="H1382" s="265"/>
      <c r="I1382" s="315"/>
      <c r="J1382" s="315"/>
      <c r="K1382" s="64"/>
      <c r="L1382" s="29"/>
      <c r="M1382" s="82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</row>
    <row r="1383" spans="1:36" s="18" customFormat="1" ht="24.75" customHeight="1">
      <c r="A1383" s="501" t="s">
        <v>151</v>
      </c>
      <c r="B1383" s="501"/>
      <c r="C1383" s="501"/>
      <c r="D1383" s="113">
        <v>200</v>
      </c>
      <c r="E1383" s="201">
        <v>3.9</v>
      </c>
      <c r="F1383" s="201">
        <v>2.5</v>
      </c>
      <c r="G1383" s="201">
        <v>18</v>
      </c>
      <c r="H1383" s="202">
        <f>E1383*4+F1383*9+G1383*4</f>
        <v>110.1</v>
      </c>
      <c r="I1383" s="263">
        <v>0.5</v>
      </c>
      <c r="J1383" s="315"/>
      <c r="K1383" s="64"/>
      <c r="L1383" s="29"/>
      <c r="M1383" s="82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/>
    </row>
    <row r="1384" spans="1:36" s="18" customFormat="1" ht="24.75" customHeight="1">
      <c r="A1384" s="285" t="s">
        <v>176</v>
      </c>
      <c r="B1384" s="286">
        <v>2</v>
      </c>
      <c r="C1384" s="286">
        <v>2</v>
      </c>
      <c r="D1384" s="286"/>
      <c r="E1384" s="287"/>
      <c r="F1384" s="287"/>
      <c r="G1384" s="287"/>
      <c r="H1384" s="286"/>
      <c r="I1384" s="288"/>
      <c r="J1384" s="315"/>
      <c r="K1384" s="64"/>
      <c r="L1384" s="29"/>
      <c r="M1384" s="82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/>
    </row>
    <row r="1385" spans="1:36" s="18" customFormat="1" ht="24.75" customHeight="1" thickBot="1">
      <c r="A1385" s="269" t="s">
        <v>12</v>
      </c>
      <c r="B1385" s="270">
        <v>15</v>
      </c>
      <c r="C1385" s="270">
        <v>15</v>
      </c>
      <c r="D1385" s="270"/>
      <c r="E1385" s="271"/>
      <c r="F1385" s="271"/>
      <c r="G1385" s="271"/>
      <c r="H1385" s="272"/>
      <c r="I1385" s="273"/>
      <c r="J1385" s="315"/>
      <c r="K1385" s="64"/>
      <c r="L1385" s="115" t="s">
        <v>98</v>
      </c>
      <c r="M1385" s="78"/>
      <c r="N1385" s="8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</row>
    <row r="1386" spans="1:36" s="18" customFormat="1" ht="24.75" customHeight="1">
      <c r="A1386" s="280" t="s">
        <v>148</v>
      </c>
      <c r="B1386" s="281">
        <v>100</v>
      </c>
      <c r="C1386" s="281">
        <v>100</v>
      </c>
      <c r="D1386" s="281"/>
      <c r="E1386" s="283"/>
      <c r="F1386" s="283"/>
      <c r="G1386" s="283"/>
      <c r="H1386" s="281"/>
      <c r="I1386" s="284"/>
      <c r="J1386" s="315"/>
      <c r="K1386" s="64"/>
      <c r="L1386" s="42" t="s">
        <v>70</v>
      </c>
      <c r="M1386" s="78">
        <f>D1449+D1501</f>
        <v>120</v>
      </c>
      <c r="N1386" s="8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</row>
    <row r="1387" spans="1:36" s="18" customFormat="1" ht="24.75" customHeight="1">
      <c r="A1387" s="344" t="s">
        <v>345</v>
      </c>
      <c r="B1387" s="113"/>
      <c r="C1387" s="113"/>
      <c r="D1387" s="275" t="s">
        <v>488</v>
      </c>
      <c r="E1387" s="201">
        <v>1.6</v>
      </c>
      <c r="F1387" s="201">
        <v>8.7</v>
      </c>
      <c r="G1387" s="201">
        <v>9.9</v>
      </c>
      <c r="H1387" s="202">
        <f>E1387*4+F1387*9+G1387*4</f>
        <v>124.30000000000001</v>
      </c>
      <c r="I1387" s="263">
        <v>0</v>
      </c>
      <c r="J1387" s="192" t="s">
        <v>353</v>
      </c>
      <c r="K1387" s="64"/>
      <c r="L1387" s="25" t="s">
        <v>80</v>
      </c>
      <c r="M1387" s="78">
        <f>D1448+D1502+B1388+B1416</f>
        <v>184.3</v>
      </c>
      <c r="N1387" s="84">
        <f>D1448+D1502</f>
        <v>160</v>
      </c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/>
    </row>
    <row r="1388" spans="1:36" s="18" customFormat="1" ht="24.75" customHeight="1">
      <c r="A1388" s="276" t="s">
        <v>348</v>
      </c>
      <c r="B1388" s="270">
        <v>20</v>
      </c>
      <c r="C1388" s="270">
        <v>20</v>
      </c>
      <c r="D1388" s="270"/>
      <c r="E1388" s="271"/>
      <c r="F1388" s="271"/>
      <c r="G1388" s="271"/>
      <c r="H1388" s="271"/>
      <c r="I1388" s="309"/>
      <c r="J1388" s="288"/>
      <c r="K1388" s="64"/>
      <c r="L1388" s="25" t="s">
        <v>81</v>
      </c>
      <c r="M1388" s="78">
        <f>B1452++B1485+C1374+B1422+B1425</f>
        <v>61</v>
      </c>
      <c r="N1388" s="8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</row>
    <row r="1389" spans="1:36" s="18" customFormat="1" ht="24.75" customHeight="1">
      <c r="A1389" s="276" t="s">
        <v>346</v>
      </c>
      <c r="B1389" s="270">
        <v>10</v>
      </c>
      <c r="C1389" s="270">
        <v>10</v>
      </c>
      <c r="D1389" s="270"/>
      <c r="E1389" s="271"/>
      <c r="F1389" s="271"/>
      <c r="G1389" s="271"/>
      <c r="H1389" s="271"/>
      <c r="I1389" s="273"/>
      <c r="J1389" s="273"/>
      <c r="K1389" s="64"/>
      <c r="L1389" s="26" t="s">
        <v>123</v>
      </c>
      <c r="M1389" s="78">
        <f>+C1369</f>
        <v>15</v>
      </c>
      <c r="N1389" s="8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/>
    </row>
    <row r="1390" spans="1:36" s="18" customFormat="1" ht="24.75" customHeight="1">
      <c r="A1390" s="426" t="s">
        <v>150</v>
      </c>
      <c r="B1390" s="427"/>
      <c r="C1390" s="427"/>
      <c r="D1390" s="427"/>
      <c r="E1390" s="427"/>
      <c r="F1390" s="427"/>
      <c r="G1390" s="427"/>
      <c r="H1390" s="427"/>
      <c r="I1390" s="427"/>
      <c r="J1390" s="284"/>
      <c r="K1390" s="64"/>
      <c r="L1390" s="26"/>
      <c r="M1390" s="78">
        <f>C1405</f>
        <v>28</v>
      </c>
      <c r="N1390" s="8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</row>
    <row r="1391" spans="1:36" s="18" customFormat="1" ht="53.25" customHeight="1">
      <c r="A1391" s="492" t="s">
        <v>337</v>
      </c>
      <c r="B1391" s="492"/>
      <c r="C1391" s="492"/>
      <c r="D1391" s="282">
        <v>180</v>
      </c>
      <c r="E1391" s="201">
        <v>0.4</v>
      </c>
      <c r="F1391" s="279">
        <v>0</v>
      </c>
      <c r="G1391" s="201">
        <v>18</v>
      </c>
      <c r="H1391" s="202">
        <f>E1391*4+F1391*9+G1391*4</f>
        <v>73.6</v>
      </c>
      <c r="I1391" s="263">
        <v>12</v>
      </c>
      <c r="J1391" s="227" t="s">
        <v>347</v>
      </c>
      <c r="K1391" s="64"/>
      <c r="L1391" s="25" t="s">
        <v>137</v>
      </c>
      <c r="M1391" s="78">
        <f>B1488</f>
        <v>266</v>
      </c>
      <c r="N1391" s="8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/>
    </row>
    <row r="1392" spans="1:36" s="18" customFormat="1" ht="24.75" customHeight="1">
      <c r="A1392" s="113" t="s">
        <v>57</v>
      </c>
      <c r="B1392" s="113"/>
      <c r="C1392" s="113"/>
      <c r="D1392" s="113"/>
      <c r="E1392" s="36">
        <f>E1393+E1400+E1412+E1424+E1433+E1444+E1448+E1449</f>
        <v>35.51</v>
      </c>
      <c r="F1392" s="36">
        <f>F1393+F1400+F1412+F1424+F1433+F1444+F1448+F1449</f>
        <v>33.80153846153846</v>
      </c>
      <c r="G1392" s="36">
        <f>G1393+G1400+G1412+G1424+G1433+G1444+G1448+G1449</f>
        <v>127.81</v>
      </c>
      <c r="H1392" s="36">
        <f>H1393+H1400+H1412+H1424+H1433+H1444+H1448+H1449</f>
        <v>956.9338461538462</v>
      </c>
      <c r="I1392" s="36">
        <f>I1393+I1400+I1412+I1424+I1433+I1444+I1448+I1449</f>
        <v>30.9425</v>
      </c>
      <c r="J1392" s="345"/>
      <c r="K1392" s="64"/>
      <c r="L1392" s="25" t="s">
        <v>82</v>
      </c>
      <c r="M1392" s="78">
        <f>B1394+B1395+B1397+B1407+B1408+B1493+B1469+B1419+B1428+B1430+B1431+B1411</f>
        <v>249.79000000000002</v>
      </c>
      <c r="N1392" s="8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4"/>
    </row>
    <row r="1393" spans="1:14" ht="33" customHeight="1">
      <c r="A1393" s="503" t="s">
        <v>111</v>
      </c>
      <c r="B1393" s="504"/>
      <c r="C1393" s="505"/>
      <c r="D1393" s="113">
        <v>80</v>
      </c>
      <c r="E1393" s="36">
        <v>1.04</v>
      </c>
      <c r="F1393" s="36">
        <v>5</v>
      </c>
      <c r="G1393" s="36">
        <v>2.88</v>
      </c>
      <c r="H1393" s="75">
        <f>E1393*4+F1393*9+G1393*4</f>
        <v>60.67999999999999</v>
      </c>
      <c r="I1393" s="192">
        <v>21.27</v>
      </c>
      <c r="J1393" s="271"/>
      <c r="L1393" s="25" t="s">
        <v>83</v>
      </c>
      <c r="M1393" s="78">
        <f>D1391+B1445+B1446+B1500+B1472</f>
        <v>237.76</v>
      </c>
      <c r="N1393" s="84"/>
    </row>
    <row r="1394" spans="1:13" ht="42" customHeight="1">
      <c r="A1394" s="298" t="s">
        <v>384</v>
      </c>
      <c r="B1394" s="290">
        <f>C1394*1.25</f>
        <v>50</v>
      </c>
      <c r="C1394" s="270">
        <v>40</v>
      </c>
      <c r="D1394" s="272"/>
      <c r="E1394" s="271"/>
      <c r="F1394" s="271"/>
      <c r="G1394" s="271"/>
      <c r="H1394" s="272"/>
      <c r="I1394" s="273"/>
      <c r="J1394" s="428"/>
      <c r="L1394" s="25" t="s">
        <v>124</v>
      </c>
      <c r="M1394" s="78">
        <f>D1466</f>
        <v>200</v>
      </c>
    </row>
    <row r="1395" spans="1:14" ht="24.75" customHeight="1">
      <c r="A1395" s="285" t="s">
        <v>158</v>
      </c>
      <c r="B1395" s="290">
        <f>C1395*1.02</f>
        <v>34.68</v>
      </c>
      <c r="C1395" s="270">
        <v>34</v>
      </c>
      <c r="D1395" s="272"/>
      <c r="E1395" s="271"/>
      <c r="F1395" s="271"/>
      <c r="G1395" s="271"/>
      <c r="H1395" s="272"/>
      <c r="I1395" s="273"/>
      <c r="J1395" s="263"/>
      <c r="L1395" s="25" t="s">
        <v>84</v>
      </c>
      <c r="M1395" s="78">
        <f>B1461+B1474</f>
        <v>42.5</v>
      </c>
      <c r="N1395" s="153">
        <f>B1385+B1447+B1454+B1463</f>
        <v>39</v>
      </c>
    </row>
    <row r="1396" spans="1:13" ht="29.25" customHeight="1">
      <c r="A1396" s="285" t="s">
        <v>213</v>
      </c>
      <c r="B1396" s="290">
        <f>C1396*1.05</f>
        <v>35.7</v>
      </c>
      <c r="C1396" s="270">
        <v>34</v>
      </c>
      <c r="D1396" s="272"/>
      <c r="E1396" s="271"/>
      <c r="F1396" s="271"/>
      <c r="G1396" s="271"/>
      <c r="H1396" s="272"/>
      <c r="I1396" s="273"/>
      <c r="J1396" s="36"/>
      <c r="L1396" s="25" t="s">
        <v>85</v>
      </c>
      <c r="M1396" s="78">
        <f>+B1385+B1447+B1454+B1463++B1372+B1376++B1381+B1473+B1432+B1499</f>
        <v>77.5</v>
      </c>
    </row>
    <row r="1397" spans="1:36" s="18" customFormat="1" ht="24.75" customHeight="1">
      <c r="A1397" s="269" t="s">
        <v>163</v>
      </c>
      <c r="B1397" s="287">
        <f>C1397*1.19</f>
        <v>3.57</v>
      </c>
      <c r="C1397" s="272">
        <v>3</v>
      </c>
      <c r="D1397" s="272"/>
      <c r="E1397" s="271"/>
      <c r="F1397" s="271"/>
      <c r="G1397" s="271"/>
      <c r="H1397" s="272"/>
      <c r="I1397" s="273"/>
      <c r="J1397" s="263" t="s">
        <v>509</v>
      </c>
      <c r="K1397" s="64"/>
      <c r="L1397" s="195" t="s">
        <v>197</v>
      </c>
      <c r="M1397" s="156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/>
    </row>
    <row r="1398" spans="1:13" ht="24.75" customHeight="1">
      <c r="A1398" s="269" t="s">
        <v>112</v>
      </c>
      <c r="B1398" s="287">
        <f>C1398*1.25</f>
        <v>3.75</v>
      </c>
      <c r="C1398" s="272">
        <v>3</v>
      </c>
      <c r="D1398" s="272"/>
      <c r="E1398" s="271"/>
      <c r="F1398" s="271"/>
      <c r="G1398" s="271"/>
      <c r="H1398" s="272"/>
      <c r="I1398" s="273"/>
      <c r="J1398" s="273"/>
      <c r="L1398" s="25" t="s">
        <v>125</v>
      </c>
      <c r="M1398" s="78">
        <f>B1384+B1379</f>
        <v>3</v>
      </c>
    </row>
    <row r="1399" spans="1:36" s="18" customFormat="1" ht="24.75" customHeight="1">
      <c r="A1399" s="269" t="s">
        <v>20</v>
      </c>
      <c r="B1399" s="270">
        <v>5</v>
      </c>
      <c r="C1399" s="270">
        <v>5</v>
      </c>
      <c r="D1399" s="272"/>
      <c r="E1399" s="271"/>
      <c r="F1399" s="271"/>
      <c r="G1399" s="271"/>
      <c r="H1399" s="272"/>
      <c r="I1399" s="273"/>
      <c r="J1399" s="273"/>
      <c r="K1399" s="64"/>
      <c r="L1399" s="25" t="s">
        <v>86</v>
      </c>
      <c r="M1399" s="78">
        <f>B1498</f>
        <v>0.4</v>
      </c>
      <c r="N1399" s="108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/>
    </row>
    <row r="1400" spans="1:13" ht="24.75" customHeight="1">
      <c r="A1400" s="502" t="s">
        <v>469</v>
      </c>
      <c r="B1400" s="502"/>
      <c r="C1400" s="502"/>
      <c r="D1400" s="278" t="s">
        <v>258</v>
      </c>
      <c r="E1400" s="292">
        <v>6.9</v>
      </c>
      <c r="F1400" s="292">
        <v>6.8</v>
      </c>
      <c r="G1400" s="292">
        <v>19.6</v>
      </c>
      <c r="H1400" s="75">
        <f>E1400*4+F1400*9+G1400*4</f>
        <v>167.2</v>
      </c>
      <c r="I1400" s="192">
        <v>0.2</v>
      </c>
      <c r="J1400" s="273"/>
      <c r="L1400" s="139" t="s">
        <v>136</v>
      </c>
      <c r="M1400" s="97">
        <f>B1413</f>
        <v>85.68</v>
      </c>
    </row>
    <row r="1401" spans="1:13" ht="24.75" customHeight="1">
      <c r="A1401" s="285" t="s">
        <v>28</v>
      </c>
      <c r="B1401" s="286">
        <v>27</v>
      </c>
      <c r="C1401" s="286">
        <v>27</v>
      </c>
      <c r="D1401" s="294"/>
      <c r="E1401" s="295"/>
      <c r="F1401" s="295"/>
      <c r="G1401" s="295"/>
      <c r="H1401" s="296"/>
      <c r="I1401" s="297"/>
      <c r="J1401" s="273"/>
      <c r="L1401" s="195" t="s">
        <v>199</v>
      </c>
      <c r="M1401" s="78">
        <f>B1409</f>
        <v>40</v>
      </c>
    </row>
    <row r="1402" spans="1:13" ht="24.75" customHeight="1">
      <c r="A1402" s="269" t="s">
        <v>29</v>
      </c>
      <c r="B1402" s="286">
        <v>5.6</v>
      </c>
      <c r="C1402" s="286">
        <v>5.6</v>
      </c>
      <c r="D1402" s="294"/>
      <c r="E1402" s="295"/>
      <c r="F1402" s="295"/>
      <c r="G1402" s="295"/>
      <c r="H1402" s="296"/>
      <c r="I1402" s="297"/>
      <c r="J1402" s="273"/>
      <c r="L1402" s="25" t="s">
        <v>87</v>
      </c>
      <c r="M1402" s="78">
        <f>B1480</f>
        <v>10</v>
      </c>
    </row>
    <row r="1403" spans="1:13" ht="24.75" customHeight="1">
      <c r="A1403" s="269" t="s">
        <v>108</v>
      </c>
      <c r="B1403" s="286">
        <v>7</v>
      </c>
      <c r="C1403" s="286">
        <v>7</v>
      </c>
      <c r="D1403" s="294"/>
      <c r="E1403" s="295"/>
      <c r="F1403" s="295"/>
      <c r="G1403" s="295"/>
      <c r="H1403" s="296"/>
      <c r="I1403" s="297"/>
      <c r="J1403" s="273"/>
      <c r="L1403" s="25" t="s">
        <v>127</v>
      </c>
      <c r="M1403" s="78"/>
    </row>
    <row r="1404" spans="1:36" s="18" customFormat="1" ht="24.75" customHeight="1">
      <c r="A1404" s="274" t="s">
        <v>149</v>
      </c>
      <c r="B1404" s="286">
        <v>0.7</v>
      </c>
      <c r="C1404" s="286">
        <v>0.7</v>
      </c>
      <c r="D1404" s="294"/>
      <c r="E1404" s="295"/>
      <c r="F1404" s="295"/>
      <c r="G1404" s="295"/>
      <c r="H1404" s="296"/>
      <c r="I1404" s="297"/>
      <c r="J1404" s="263" t="s">
        <v>510</v>
      </c>
      <c r="K1404" s="64"/>
      <c r="L1404" s="26" t="s">
        <v>128</v>
      </c>
      <c r="M1404" s="78">
        <f>+B1386++B1418+B1453++C1367</f>
        <v>262</v>
      </c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4"/>
    </row>
    <row r="1405" spans="1:36" s="18" customFormat="1" ht="24.75" customHeight="1">
      <c r="A1405" s="298" t="s">
        <v>167</v>
      </c>
      <c r="B1405" s="286">
        <v>28</v>
      </c>
      <c r="C1405" s="286">
        <v>28</v>
      </c>
      <c r="D1405" s="294"/>
      <c r="E1405" s="295"/>
      <c r="F1405" s="295"/>
      <c r="G1405" s="295"/>
      <c r="H1405" s="296"/>
      <c r="I1405" s="297"/>
      <c r="J1405" s="297"/>
      <c r="K1405" s="64"/>
      <c r="L1405" s="26"/>
      <c r="M1405" s="78">
        <f>B1504</f>
        <v>206</v>
      </c>
      <c r="N1405" s="84">
        <f>B1386+B1418+B1504</f>
        <v>326</v>
      </c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/>
      <c r="AI1405" s="24"/>
      <c r="AJ1405" s="24"/>
    </row>
    <row r="1406" spans="1:36" s="18" customFormat="1" ht="24.75" customHeight="1">
      <c r="A1406" s="285" t="s">
        <v>25</v>
      </c>
      <c r="B1406" s="287">
        <f>C1406*1.25</f>
        <v>17.5</v>
      </c>
      <c r="C1406" s="286">
        <v>14</v>
      </c>
      <c r="D1406" s="294"/>
      <c r="E1406" s="295"/>
      <c r="F1406" s="295"/>
      <c r="G1406" s="295"/>
      <c r="H1406" s="296"/>
      <c r="I1406" s="297"/>
      <c r="J1406" s="297"/>
      <c r="K1406" s="64"/>
      <c r="L1406" s="25" t="s">
        <v>88</v>
      </c>
      <c r="M1406" s="77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  <c r="AH1406" s="24"/>
      <c r="AI1406" s="24"/>
      <c r="AJ1406" s="24"/>
    </row>
    <row r="1407" spans="1:36" s="18" customFormat="1" ht="24.75" customHeight="1">
      <c r="A1407" s="285" t="s">
        <v>19</v>
      </c>
      <c r="B1407" s="290">
        <f>C1407*1.33</f>
        <v>18.62</v>
      </c>
      <c r="C1407" s="286">
        <v>14</v>
      </c>
      <c r="D1407" s="294"/>
      <c r="E1407" s="295"/>
      <c r="F1407" s="295"/>
      <c r="G1407" s="295"/>
      <c r="H1407" s="296"/>
      <c r="I1407" s="297"/>
      <c r="J1407" s="297"/>
      <c r="K1407" s="64"/>
      <c r="L1407" s="25" t="s">
        <v>89</v>
      </c>
      <c r="M1407" s="79">
        <f>C1378</f>
        <v>15</v>
      </c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4"/>
    </row>
    <row r="1408" spans="1:36" s="18" customFormat="1" ht="24.75" customHeight="1">
      <c r="A1408" s="285" t="s">
        <v>26</v>
      </c>
      <c r="B1408" s="290">
        <f>C1408*1.19</f>
        <v>16.66</v>
      </c>
      <c r="C1408" s="286">
        <v>14</v>
      </c>
      <c r="D1408" s="294"/>
      <c r="E1408" s="295"/>
      <c r="F1408" s="295"/>
      <c r="G1408" s="295"/>
      <c r="H1408" s="296"/>
      <c r="I1408" s="297"/>
      <c r="J1408" s="297"/>
      <c r="K1408" s="64"/>
      <c r="L1408" s="25" t="s">
        <v>132</v>
      </c>
      <c r="M1408" s="79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4"/>
    </row>
    <row r="1409" spans="1:14" ht="24.75" customHeight="1">
      <c r="A1409" s="299" t="s">
        <v>51</v>
      </c>
      <c r="B1409" s="300">
        <v>40</v>
      </c>
      <c r="C1409" s="272">
        <v>36</v>
      </c>
      <c r="D1409" s="294"/>
      <c r="E1409" s="295"/>
      <c r="F1409" s="271"/>
      <c r="G1409" s="271"/>
      <c r="H1409" s="272"/>
      <c r="I1409" s="273"/>
      <c r="J1409" s="297"/>
      <c r="L1409" s="25" t="s">
        <v>90</v>
      </c>
      <c r="M1409" s="79">
        <f>B1389+B1410+B1492++B1455+C1371+C1377+B1427</f>
        <v>38</v>
      </c>
      <c r="N1409" s="84">
        <f>B1410+B1492+B1455</f>
        <v>19</v>
      </c>
    </row>
    <row r="1410" spans="1:36" s="18" customFormat="1" ht="24.75" customHeight="1">
      <c r="A1410" s="285" t="s">
        <v>27</v>
      </c>
      <c r="B1410" s="286">
        <v>8</v>
      </c>
      <c r="C1410" s="286">
        <v>8</v>
      </c>
      <c r="D1410" s="294"/>
      <c r="E1410" s="295"/>
      <c r="F1410" s="295"/>
      <c r="G1410" s="295"/>
      <c r="H1410" s="296"/>
      <c r="I1410" s="297"/>
      <c r="J1410" s="297"/>
      <c r="K1410" s="64"/>
      <c r="L1410" s="25" t="s">
        <v>63</v>
      </c>
      <c r="M1410" s="79">
        <f>B1399+B1420+B1465+B1475+B1423+B1482</f>
        <v>56.5</v>
      </c>
      <c r="N1410" s="84">
        <f>B1399+B1420</f>
        <v>10</v>
      </c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4"/>
    </row>
    <row r="1411" spans="1:36" s="18" customFormat="1" ht="24.75" customHeight="1" thickBot="1">
      <c r="A1411" s="285" t="s">
        <v>68</v>
      </c>
      <c r="B1411" s="290">
        <f>C1411*1.35</f>
        <v>4.050000000000001</v>
      </c>
      <c r="C1411" s="286">
        <v>3</v>
      </c>
      <c r="D1411" s="286"/>
      <c r="E1411" s="342"/>
      <c r="F1411" s="287"/>
      <c r="G1411" s="287"/>
      <c r="H1411" s="290"/>
      <c r="I1411" s="288"/>
      <c r="J1411" s="297"/>
      <c r="K1411" s="64"/>
      <c r="L1411" s="27" t="s">
        <v>91</v>
      </c>
      <c r="M1411" s="79">
        <f>+B1456+C1375</f>
        <v>15</v>
      </c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24"/>
      <c r="AG1411" s="24"/>
      <c r="AH1411" s="24"/>
      <c r="AI1411" s="24"/>
      <c r="AJ1411" s="24"/>
    </row>
    <row r="1412" spans="1:36" s="18" customFormat="1" ht="24.75" customHeight="1">
      <c r="A1412" s="262" t="s">
        <v>448</v>
      </c>
      <c r="B1412" s="457"/>
      <c r="C1412" s="457"/>
      <c r="D1412" s="227">
        <v>100</v>
      </c>
      <c r="E1412" s="201">
        <v>10.8</v>
      </c>
      <c r="F1412" s="201">
        <v>11.5</v>
      </c>
      <c r="G1412" s="201">
        <v>9.1</v>
      </c>
      <c r="H1412" s="202">
        <f>E1412*4+F1412*9+G1412*4</f>
        <v>183.1</v>
      </c>
      <c r="I1412" s="263">
        <v>0.3</v>
      </c>
      <c r="J1412" s="297"/>
      <c r="K1412" s="64"/>
      <c r="L1412" s="152" t="s">
        <v>200</v>
      </c>
      <c r="M1412" s="82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  <c r="AH1412" s="24"/>
      <c r="AI1412" s="24"/>
      <c r="AJ1412" s="24"/>
    </row>
    <row r="1413" spans="1:36" s="18" customFormat="1" ht="24.75" customHeight="1">
      <c r="A1413" s="299" t="s">
        <v>60</v>
      </c>
      <c r="B1413" s="301">
        <f>C1413*1.36</f>
        <v>85.68</v>
      </c>
      <c r="C1413" s="265">
        <v>63</v>
      </c>
      <c r="D1413" s="458"/>
      <c r="E1413" s="459"/>
      <c r="F1413" s="459"/>
      <c r="G1413" s="459"/>
      <c r="H1413" s="459"/>
      <c r="I1413" s="460"/>
      <c r="J1413" s="273"/>
      <c r="K1413" s="64"/>
      <c r="L1413" s="29" t="s">
        <v>206</v>
      </c>
      <c r="M1413" s="156">
        <f>B1457</f>
        <v>1.4</v>
      </c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/>
    </row>
    <row r="1414" spans="1:36" s="18" customFormat="1" ht="24.75" customHeight="1">
      <c r="A1414" s="302" t="s">
        <v>72</v>
      </c>
      <c r="B1414" s="435">
        <f>C1414*1.18</f>
        <v>74.33999999999999</v>
      </c>
      <c r="C1414" s="265">
        <v>63</v>
      </c>
      <c r="D1414" s="458"/>
      <c r="E1414" s="459"/>
      <c r="F1414" s="459"/>
      <c r="G1414" s="459"/>
      <c r="H1414" s="458"/>
      <c r="I1414" s="460"/>
      <c r="J1414" s="297"/>
      <c r="K1414" s="64"/>
      <c r="L1414" s="29"/>
      <c r="M1414" s="82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24"/>
      <c r="AG1414" s="24"/>
      <c r="AH1414" s="24"/>
      <c r="AI1414" s="24"/>
      <c r="AJ1414" s="24"/>
    </row>
    <row r="1415" spans="1:36" s="18" customFormat="1" ht="24.75" customHeight="1">
      <c r="A1415" s="303" t="s">
        <v>400</v>
      </c>
      <c r="B1415" s="435">
        <f>C1414</f>
        <v>63</v>
      </c>
      <c r="C1415" s="265">
        <f>C1414</f>
        <v>63</v>
      </c>
      <c r="D1415" s="458"/>
      <c r="E1415" s="459"/>
      <c r="F1415" s="459"/>
      <c r="G1415" s="459"/>
      <c r="H1415" s="458"/>
      <c r="I1415" s="460"/>
      <c r="J1415" s="288"/>
      <c r="K1415" s="64"/>
      <c r="L1415" s="29"/>
      <c r="M1415" s="82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4"/>
    </row>
    <row r="1416" spans="1:10" ht="24.75" customHeight="1">
      <c r="A1416" s="304" t="s">
        <v>582</v>
      </c>
      <c r="B1416" s="420">
        <v>4.3</v>
      </c>
      <c r="C1416" s="265">
        <v>4.3</v>
      </c>
      <c r="D1416" s="458"/>
      <c r="E1416" s="459"/>
      <c r="F1416" s="459"/>
      <c r="G1416" s="459"/>
      <c r="H1416" s="458"/>
      <c r="I1416" s="460"/>
      <c r="J1416" s="192" t="s">
        <v>453</v>
      </c>
    </row>
    <row r="1417" spans="1:10" ht="24.75" customHeight="1">
      <c r="A1417" s="304" t="s">
        <v>603</v>
      </c>
      <c r="B1417" s="420">
        <v>13</v>
      </c>
      <c r="C1417" s="265">
        <v>13</v>
      </c>
      <c r="D1417" s="458"/>
      <c r="E1417" s="459"/>
      <c r="F1417" s="459"/>
      <c r="G1417" s="459"/>
      <c r="H1417" s="458"/>
      <c r="I1417" s="460"/>
      <c r="J1417" s="192"/>
    </row>
    <row r="1418" spans="1:36" s="18" customFormat="1" ht="24.75" customHeight="1">
      <c r="A1418" s="327" t="s">
        <v>196</v>
      </c>
      <c r="B1418" s="265">
        <v>20</v>
      </c>
      <c r="C1418" s="265">
        <v>20</v>
      </c>
      <c r="D1418" s="458"/>
      <c r="E1418" s="201"/>
      <c r="F1418" s="201"/>
      <c r="G1418" s="201"/>
      <c r="H1418" s="202"/>
      <c r="I1418" s="263"/>
      <c r="J1418" s="460"/>
      <c r="K1418" s="64"/>
      <c r="L1418" s="29"/>
      <c r="M1418" s="82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  <c r="AH1418" s="24"/>
      <c r="AI1418" s="24"/>
      <c r="AJ1418" s="24"/>
    </row>
    <row r="1419" spans="1:36" s="18" customFormat="1" ht="24.75" customHeight="1">
      <c r="A1419" s="269" t="s">
        <v>449</v>
      </c>
      <c r="B1419" s="290">
        <f>C1419*1.19</f>
        <v>39.269999999999996</v>
      </c>
      <c r="C1419" s="272">
        <v>33</v>
      </c>
      <c r="D1419" s="458"/>
      <c r="E1419" s="201"/>
      <c r="F1419" s="201"/>
      <c r="G1419" s="201"/>
      <c r="H1419" s="202"/>
      <c r="I1419" s="263"/>
      <c r="J1419" s="460"/>
      <c r="K1419" s="64"/>
      <c r="L1419" s="29"/>
      <c r="M1419" s="82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24"/>
      <c r="AG1419" s="24"/>
      <c r="AH1419" s="24"/>
      <c r="AI1419" s="24"/>
      <c r="AJ1419" s="24"/>
    </row>
    <row r="1420" spans="1:36" s="18" customFormat="1" ht="24.75" customHeight="1">
      <c r="A1420" s="269" t="s">
        <v>20</v>
      </c>
      <c r="B1420" s="270">
        <v>5</v>
      </c>
      <c r="C1420" s="270">
        <v>5</v>
      </c>
      <c r="D1420" s="458"/>
      <c r="E1420" s="36"/>
      <c r="F1420" s="36"/>
      <c r="G1420" s="36"/>
      <c r="H1420" s="75"/>
      <c r="I1420" s="192"/>
      <c r="J1420" s="460"/>
      <c r="K1420" s="64"/>
      <c r="L1420" s="29"/>
      <c r="M1420" s="82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24"/>
      <c r="AG1420" s="24"/>
      <c r="AH1420" s="24"/>
      <c r="AI1420" s="24"/>
      <c r="AJ1420" s="24"/>
    </row>
    <row r="1421" spans="1:36" s="18" customFormat="1" ht="24.75" customHeight="1">
      <c r="A1421" s="269" t="s">
        <v>450</v>
      </c>
      <c r="B1421" s="270"/>
      <c r="C1421" s="270">
        <v>17</v>
      </c>
      <c r="D1421" s="458"/>
      <c r="E1421" s="36"/>
      <c r="F1421" s="36"/>
      <c r="G1421" s="36"/>
      <c r="H1421" s="75"/>
      <c r="I1421" s="192"/>
      <c r="J1421" s="460"/>
      <c r="K1421" s="64"/>
      <c r="L1421" s="29"/>
      <c r="M1421" s="82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4"/>
    </row>
    <row r="1422" spans="1:36" s="18" customFormat="1" ht="24.75" customHeight="1">
      <c r="A1422" s="269" t="s">
        <v>28</v>
      </c>
      <c r="B1422" s="270">
        <v>7</v>
      </c>
      <c r="C1422" s="270">
        <v>7</v>
      </c>
      <c r="D1422" s="458"/>
      <c r="E1422" s="36"/>
      <c r="F1422" s="36"/>
      <c r="G1422" s="36"/>
      <c r="H1422" s="75"/>
      <c r="I1422" s="192"/>
      <c r="J1422" s="263"/>
      <c r="K1422" s="64"/>
      <c r="L1422" s="29"/>
      <c r="M1422" s="82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24"/>
      <c r="AG1422" s="24"/>
      <c r="AH1422" s="24"/>
      <c r="AI1422" s="24"/>
      <c r="AJ1422" s="24"/>
    </row>
    <row r="1423" spans="1:36" s="18" customFormat="1" ht="24.75" customHeight="1">
      <c r="A1423" s="269" t="s">
        <v>20</v>
      </c>
      <c r="B1423" s="270">
        <v>2</v>
      </c>
      <c r="C1423" s="270">
        <v>2</v>
      </c>
      <c r="D1423" s="458"/>
      <c r="E1423" s="36"/>
      <c r="F1423" s="36"/>
      <c r="G1423" s="36"/>
      <c r="H1423" s="75"/>
      <c r="I1423" s="192"/>
      <c r="J1423" s="263"/>
      <c r="K1423" s="64"/>
      <c r="L1423" s="29"/>
      <c r="M1423" s="82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/>
    </row>
    <row r="1424" spans="1:10" ht="24.75" customHeight="1">
      <c r="A1424" s="262" t="s">
        <v>452</v>
      </c>
      <c r="B1424" s="270"/>
      <c r="C1424" s="113"/>
      <c r="D1424" s="202">
        <v>50</v>
      </c>
      <c r="E1424" s="201">
        <v>0.4</v>
      </c>
      <c r="F1424" s="201">
        <v>1.7</v>
      </c>
      <c r="G1424" s="201">
        <v>2.7</v>
      </c>
      <c r="H1424" s="202">
        <f>E1424*4+F1424*9+G1424*4</f>
        <v>27.7</v>
      </c>
      <c r="I1424" s="263">
        <v>0</v>
      </c>
      <c r="J1424" s="192"/>
    </row>
    <row r="1425" spans="1:36" s="18" customFormat="1" ht="24.75" customHeight="1">
      <c r="A1425" s="269" t="s">
        <v>28</v>
      </c>
      <c r="B1425" s="270">
        <v>2</v>
      </c>
      <c r="C1425" s="270">
        <v>2</v>
      </c>
      <c r="D1425" s="75"/>
      <c r="E1425" s="36"/>
      <c r="F1425" s="36"/>
      <c r="G1425" s="36"/>
      <c r="H1425" s="75"/>
      <c r="I1425" s="192"/>
      <c r="J1425" s="192"/>
      <c r="K1425" s="64"/>
      <c r="L1425" s="29"/>
      <c r="M1425" s="82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4"/>
    </row>
    <row r="1426" spans="1:36" s="18" customFormat="1" ht="24.75" customHeight="1">
      <c r="A1426" s="269" t="s">
        <v>108</v>
      </c>
      <c r="B1426" s="270">
        <v>37.5</v>
      </c>
      <c r="C1426" s="270">
        <v>37.5</v>
      </c>
      <c r="D1426" s="75"/>
      <c r="E1426" s="36"/>
      <c r="F1426" s="36"/>
      <c r="G1426" s="36"/>
      <c r="H1426" s="75"/>
      <c r="I1426" s="192"/>
      <c r="J1426" s="192"/>
      <c r="K1426" s="64"/>
      <c r="L1426" s="29"/>
      <c r="M1426" s="82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4"/>
    </row>
    <row r="1427" spans="1:10" ht="24.75" customHeight="1">
      <c r="A1427" s="269" t="s">
        <v>27</v>
      </c>
      <c r="B1427" s="270">
        <v>3</v>
      </c>
      <c r="C1427" s="270">
        <v>3</v>
      </c>
      <c r="D1427" s="75"/>
      <c r="E1427" s="36"/>
      <c r="F1427" s="36"/>
      <c r="G1427" s="36"/>
      <c r="H1427" s="75"/>
      <c r="I1427" s="192"/>
      <c r="J1427" s="192"/>
    </row>
    <row r="1428" spans="1:10" ht="24.75" customHeight="1">
      <c r="A1428" s="285" t="s">
        <v>25</v>
      </c>
      <c r="B1428" s="290">
        <f>C1428*1.25</f>
        <v>3.75</v>
      </c>
      <c r="C1428" s="290">
        <v>3</v>
      </c>
      <c r="D1428" s="75"/>
      <c r="E1428" s="36"/>
      <c r="F1428" s="287"/>
      <c r="G1428" s="287"/>
      <c r="H1428" s="290"/>
      <c r="I1428" s="288"/>
      <c r="J1428" s="263" t="s">
        <v>451</v>
      </c>
    </row>
    <row r="1429" spans="1:36" s="18" customFormat="1" ht="24.75" customHeight="1">
      <c r="A1429" s="285" t="s">
        <v>19</v>
      </c>
      <c r="B1429" s="290">
        <f>C1429*1.33</f>
        <v>3.99</v>
      </c>
      <c r="C1429" s="290">
        <v>3</v>
      </c>
      <c r="D1429" s="75"/>
      <c r="E1429" s="36"/>
      <c r="F1429" s="287"/>
      <c r="G1429" s="287"/>
      <c r="H1429" s="290"/>
      <c r="I1429" s="288"/>
      <c r="J1429" s="192"/>
      <c r="K1429" s="158"/>
      <c r="L1429" s="29"/>
      <c r="M1429" s="82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24"/>
      <c r="AG1429" s="24"/>
      <c r="AH1429" s="24"/>
      <c r="AI1429" s="24"/>
      <c r="AJ1429" s="24"/>
    </row>
    <row r="1430" spans="1:10" ht="24.75" customHeight="1">
      <c r="A1430" s="285" t="s">
        <v>26</v>
      </c>
      <c r="B1430" s="287">
        <f>C1430*1.19</f>
        <v>1.19</v>
      </c>
      <c r="C1430" s="290">
        <v>1</v>
      </c>
      <c r="D1430" s="75"/>
      <c r="E1430" s="36"/>
      <c r="F1430" s="287"/>
      <c r="G1430" s="287"/>
      <c r="H1430" s="290"/>
      <c r="I1430" s="288"/>
      <c r="J1430" s="192"/>
    </row>
    <row r="1431" spans="1:36" s="18" customFormat="1" ht="46.5" customHeight="1">
      <c r="A1431" s="298" t="s">
        <v>294</v>
      </c>
      <c r="B1431" s="290">
        <v>5</v>
      </c>
      <c r="C1431" s="290">
        <v>5</v>
      </c>
      <c r="D1431" s="75"/>
      <c r="E1431" s="36"/>
      <c r="F1431" s="287"/>
      <c r="G1431" s="287"/>
      <c r="H1431" s="290"/>
      <c r="I1431" s="288"/>
      <c r="J1431" s="192"/>
      <c r="K1431" s="64"/>
      <c r="L1431" s="29"/>
      <c r="M1431" s="82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24"/>
      <c r="AG1431" s="24"/>
      <c r="AH1431" s="24"/>
      <c r="AI1431" s="24"/>
      <c r="AJ1431" s="24"/>
    </row>
    <row r="1432" spans="1:36" s="18" customFormat="1" ht="24.75" customHeight="1">
      <c r="A1432" s="298" t="s">
        <v>12</v>
      </c>
      <c r="B1432" s="290">
        <v>1</v>
      </c>
      <c r="C1432" s="290">
        <v>1</v>
      </c>
      <c r="D1432" s="75"/>
      <c r="E1432" s="36"/>
      <c r="F1432" s="287"/>
      <c r="G1432" s="287"/>
      <c r="H1432" s="290"/>
      <c r="I1432" s="288"/>
      <c r="J1432" s="288"/>
      <c r="K1432" s="64"/>
      <c r="L1432" s="29"/>
      <c r="M1432" s="82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4"/>
    </row>
    <row r="1433" spans="1:36" s="18" customFormat="1" ht="24.75" customHeight="1">
      <c r="A1433" s="506" t="s">
        <v>583</v>
      </c>
      <c r="B1433" s="506"/>
      <c r="C1433" s="506"/>
      <c r="D1433" s="113">
        <v>200</v>
      </c>
      <c r="E1433" s="36">
        <v>3.4499999999999997</v>
      </c>
      <c r="F1433" s="36">
        <v>6.461538461538462</v>
      </c>
      <c r="G1433" s="36">
        <v>16.049999999999997</v>
      </c>
      <c r="H1433" s="75">
        <f>E1433*4+F1433*9+G1433*4</f>
        <v>136.15384615384613</v>
      </c>
      <c r="I1433" s="192">
        <v>7.6725</v>
      </c>
      <c r="J1433" s="263" t="s">
        <v>511</v>
      </c>
      <c r="K1433" s="64"/>
      <c r="L1433" s="29"/>
      <c r="M1433" s="82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  <c r="AH1433" s="24"/>
      <c r="AI1433" s="24"/>
      <c r="AJ1433" s="24"/>
    </row>
    <row r="1434" spans="1:36" s="18" customFormat="1" ht="42" customHeight="1">
      <c r="A1434" s="327" t="s">
        <v>21</v>
      </c>
      <c r="B1434" s="305">
        <f>C1434*1.33</f>
        <v>152.95000000000002</v>
      </c>
      <c r="C1434" s="265">
        <v>115</v>
      </c>
      <c r="D1434" s="75" t="s">
        <v>585</v>
      </c>
      <c r="E1434" s="227">
        <v>112</v>
      </c>
      <c r="F1434" s="201"/>
      <c r="G1434" s="201"/>
      <c r="H1434" s="202"/>
      <c r="I1434" s="263"/>
      <c r="J1434" s="263"/>
      <c r="K1434" s="64"/>
      <c r="L1434" s="29"/>
      <c r="M1434" s="82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24"/>
      <c r="AG1434" s="24"/>
      <c r="AH1434" s="24"/>
      <c r="AI1434" s="24"/>
      <c r="AJ1434" s="24"/>
    </row>
    <row r="1435" spans="1:36" s="18" customFormat="1" ht="24.75" customHeight="1">
      <c r="A1435" s="285" t="s">
        <v>22</v>
      </c>
      <c r="B1435" s="290">
        <f>C1435*1.43</f>
        <v>164.45</v>
      </c>
      <c r="C1435" s="265">
        <v>115</v>
      </c>
      <c r="D1435" s="75"/>
      <c r="E1435" s="113"/>
      <c r="F1435" s="113"/>
      <c r="G1435" s="113"/>
      <c r="H1435" s="75"/>
      <c r="I1435" s="192"/>
      <c r="J1435" s="263"/>
      <c r="K1435" s="64"/>
      <c r="L1435" s="29"/>
      <c r="M1435" s="82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/>
      <c r="AI1435" s="24"/>
      <c r="AJ1435" s="24"/>
    </row>
    <row r="1436" spans="1:36" s="18" customFormat="1" ht="24.75" customHeight="1">
      <c r="A1436" s="285" t="s">
        <v>23</v>
      </c>
      <c r="B1436" s="290">
        <f>C1436*1.54</f>
        <v>177.1</v>
      </c>
      <c r="C1436" s="265">
        <v>115</v>
      </c>
      <c r="D1436" s="75"/>
      <c r="E1436" s="113"/>
      <c r="F1436" s="36"/>
      <c r="G1436" s="36"/>
      <c r="H1436" s="75"/>
      <c r="I1436" s="192"/>
      <c r="J1436" s="263"/>
      <c r="K1436" s="64"/>
      <c r="L1436" s="29"/>
      <c r="M1436" s="82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24"/>
      <c r="AI1436" s="24"/>
      <c r="AJ1436" s="24"/>
    </row>
    <row r="1437" spans="1:36" s="18" customFormat="1" ht="24.75" customHeight="1">
      <c r="A1437" s="285" t="s">
        <v>24</v>
      </c>
      <c r="B1437" s="290">
        <f>C1437*1.67</f>
        <v>192.04999999999998</v>
      </c>
      <c r="C1437" s="265">
        <v>115</v>
      </c>
      <c r="D1437" s="75"/>
      <c r="E1437" s="113"/>
      <c r="F1437" s="36"/>
      <c r="G1437" s="36"/>
      <c r="H1437" s="75"/>
      <c r="I1437" s="192"/>
      <c r="J1437" s="263"/>
      <c r="K1437" s="64"/>
      <c r="L1437" s="29"/>
      <c r="M1437" s="82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24"/>
      <c r="AG1437" s="24"/>
      <c r="AH1437" s="24"/>
      <c r="AI1437" s="24"/>
      <c r="AJ1437" s="24"/>
    </row>
    <row r="1438" spans="1:36" s="18" customFormat="1" ht="24.75" customHeight="1">
      <c r="A1438" s="285" t="s">
        <v>25</v>
      </c>
      <c r="B1438" s="287">
        <f>C1438*1.25</f>
        <v>31.25</v>
      </c>
      <c r="C1438" s="290">
        <v>25</v>
      </c>
      <c r="D1438" s="75" t="s">
        <v>585</v>
      </c>
      <c r="E1438" s="113">
        <v>22</v>
      </c>
      <c r="F1438" s="287"/>
      <c r="G1438" s="287"/>
      <c r="H1438" s="290"/>
      <c r="I1438" s="364"/>
      <c r="J1438" s="411"/>
      <c r="K1438" s="64"/>
      <c r="L1438" s="29"/>
      <c r="M1438" s="82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/>
    </row>
    <row r="1439" spans="1:36" s="18" customFormat="1" ht="24.75" customHeight="1">
      <c r="A1439" s="285" t="s">
        <v>19</v>
      </c>
      <c r="B1439" s="287">
        <f>C1439*1.33</f>
        <v>33.25</v>
      </c>
      <c r="C1439" s="290">
        <v>25</v>
      </c>
      <c r="D1439" s="75"/>
      <c r="E1439" s="113"/>
      <c r="F1439" s="287"/>
      <c r="G1439" s="287"/>
      <c r="H1439" s="290"/>
      <c r="I1439" s="364"/>
      <c r="J1439" s="411"/>
      <c r="K1439" s="64"/>
      <c r="L1439" s="29"/>
      <c r="M1439" s="82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  <c r="AH1439" s="24"/>
      <c r="AI1439" s="24"/>
      <c r="AJ1439" s="24"/>
    </row>
    <row r="1440" spans="1:36" s="18" customFormat="1" ht="24.75" customHeight="1">
      <c r="A1440" s="285" t="s">
        <v>26</v>
      </c>
      <c r="B1440" s="290">
        <f>C1440*1.19</f>
        <v>20.23</v>
      </c>
      <c r="C1440" s="290">
        <v>17</v>
      </c>
      <c r="D1440" s="75" t="s">
        <v>585</v>
      </c>
      <c r="E1440" s="113">
        <v>8</v>
      </c>
      <c r="F1440" s="287"/>
      <c r="G1440" s="287"/>
      <c r="H1440" s="290"/>
      <c r="I1440" s="364"/>
      <c r="J1440" s="411"/>
      <c r="K1440" s="64"/>
      <c r="L1440" s="29"/>
      <c r="M1440" s="82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24"/>
      <c r="AG1440" s="24"/>
      <c r="AH1440" s="24"/>
      <c r="AI1440" s="24"/>
      <c r="AJ1440" s="24"/>
    </row>
    <row r="1441" spans="1:36" s="18" customFormat="1" ht="24.75" customHeight="1">
      <c r="A1441" s="264" t="s">
        <v>45</v>
      </c>
      <c r="B1441" s="290">
        <f>C1441*1.25</f>
        <v>68.75</v>
      </c>
      <c r="C1441" s="290">
        <v>55</v>
      </c>
      <c r="D1441" s="75" t="s">
        <v>585</v>
      </c>
      <c r="E1441" s="113">
        <v>50</v>
      </c>
      <c r="F1441" s="287"/>
      <c r="G1441" s="287"/>
      <c r="H1441" s="290"/>
      <c r="I1441" s="364"/>
      <c r="J1441" s="411"/>
      <c r="K1441" s="64"/>
      <c r="L1441" s="29"/>
      <c r="M1441" s="82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24"/>
      <c r="AG1441" s="24"/>
      <c r="AH1441" s="24"/>
      <c r="AI1441" s="24"/>
      <c r="AJ1441" s="24"/>
    </row>
    <row r="1442" spans="1:36" s="18" customFormat="1" ht="33" customHeight="1">
      <c r="A1442" s="298" t="s">
        <v>144</v>
      </c>
      <c r="B1442" s="286">
        <v>56</v>
      </c>
      <c r="C1442" s="286">
        <v>55</v>
      </c>
      <c r="D1442" s="75"/>
      <c r="E1442" s="113"/>
      <c r="F1442" s="287"/>
      <c r="G1442" s="287"/>
      <c r="H1442" s="290"/>
      <c r="I1442" s="364"/>
      <c r="J1442" s="411"/>
      <c r="K1442" s="64"/>
      <c r="L1442" s="29"/>
      <c r="M1442" s="82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  <c r="AH1442" s="24"/>
      <c r="AI1442" s="24"/>
      <c r="AJ1442" s="24"/>
    </row>
    <row r="1443" spans="1:36" s="18" customFormat="1" ht="24.75" customHeight="1">
      <c r="A1443" s="285" t="s">
        <v>27</v>
      </c>
      <c r="B1443" s="286">
        <v>12</v>
      </c>
      <c r="C1443" s="286">
        <v>12</v>
      </c>
      <c r="D1443" s="75"/>
      <c r="E1443" s="113"/>
      <c r="F1443" s="287"/>
      <c r="G1443" s="287"/>
      <c r="H1443" s="290"/>
      <c r="I1443" s="364"/>
      <c r="J1443" s="411"/>
      <c r="K1443" s="64"/>
      <c r="L1443" s="29"/>
      <c r="M1443" s="82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4"/>
    </row>
    <row r="1444" spans="1:36" s="18" customFormat="1" ht="24.75" customHeight="1">
      <c r="A1444" s="344" t="s">
        <v>185</v>
      </c>
      <c r="B1444" s="344"/>
      <c r="C1444" s="344"/>
      <c r="D1444" s="113">
        <v>200</v>
      </c>
      <c r="E1444" s="36">
        <v>0.1</v>
      </c>
      <c r="F1444" s="36">
        <v>0.1</v>
      </c>
      <c r="G1444" s="36">
        <v>16.1</v>
      </c>
      <c r="H1444" s="75">
        <f>E1444*4+F1444*9+G1444*4</f>
        <v>65.7</v>
      </c>
      <c r="I1444" s="192">
        <v>1.5</v>
      </c>
      <c r="J1444" s="288"/>
      <c r="K1444" s="64"/>
      <c r="L1444" s="29"/>
      <c r="M1444" s="82"/>
      <c r="N1444" s="94" t="s">
        <v>24</v>
      </c>
      <c r="O1444" s="73">
        <f>P1444*1.67</f>
        <v>81.83</v>
      </c>
      <c r="P1444" s="106">
        <v>49</v>
      </c>
      <c r="Q1444" s="35"/>
      <c r="R1444" s="31"/>
      <c r="S1444" s="34"/>
      <c r="T1444" s="34"/>
      <c r="U1444" s="35"/>
      <c r="V1444" s="186"/>
      <c r="W1444" s="188"/>
      <c r="X1444" s="24"/>
      <c r="Y1444" s="24"/>
      <c r="Z1444" s="24"/>
      <c r="AA1444" s="24"/>
      <c r="AB1444" s="24"/>
      <c r="AC1444" s="24"/>
      <c r="AD1444" s="24"/>
      <c r="AE1444" s="24"/>
      <c r="AF1444" s="24"/>
      <c r="AG1444" s="24"/>
      <c r="AH1444" s="24"/>
      <c r="AI1444" s="24"/>
      <c r="AJ1444" s="24"/>
    </row>
    <row r="1445" spans="1:36" s="18" customFormat="1" ht="24.75" customHeight="1">
      <c r="A1445" s="316" t="s">
        <v>184</v>
      </c>
      <c r="B1445" s="321">
        <v>17.5</v>
      </c>
      <c r="C1445" s="321">
        <v>15</v>
      </c>
      <c r="D1445" s="344"/>
      <c r="E1445" s="361"/>
      <c r="F1445" s="361"/>
      <c r="G1445" s="361"/>
      <c r="H1445" s="362"/>
      <c r="I1445" s="363"/>
      <c r="J1445" s="263" t="s">
        <v>511</v>
      </c>
      <c r="K1445" s="64"/>
      <c r="L1445" s="29"/>
      <c r="M1445" s="82"/>
      <c r="N1445" s="94" t="s">
        <v>25</v>
      </c>
      <c r="O1445" s="102">
        <f>P1445*1.25</f>
        <v>36.25</v>
      </c>
      <c r="P1445" s="73">
        <v>29</v>
      </c>
      <c r="Q1445" s="35"/>
      <c r="R1445" s="31"/>
      <c r="S1445" s="102"/>
      <c r="T1445" s="102"/>
      <c r="U1445" s="73"/>
      <c r="V1445" s="189"/>
      <c r="W1445" s="203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/>
    </row>
    <row r="1446" spans="1:36" s="18" customFormat="1" ht="24.75" customHeight="1">
      <c r="A1446" s="298" t="s">
        <v>192</v>
      </c>
      <c r="B1446" s="287">
        <f>C1446*1.14</f>
        <v>17.099999999999998</v>
      </c>
      <c r="C1446" s="321">
        <v>15</v>
      </c>
      <c r="D1446" s="344"/>
      <c r="E1446" s="361"/>
      <c r="F1446" s="361"/>
      <c r="G1446" s="361"/>
      <c r="H1446" s="362"/>
      <c r="I1446" s="363"/>
      <c r="J1446" s="284"/>
      <c r="K1446" s="64"/>
      <c r="L1446" s="29"/>
      <c r="M1446" s="82"/>
      <c r="N1446" s="94" t="s">
        <v>19</v>
      </c>
      <c r="O1446" s="102">
        <f>P1446*1.33</f>
        <v>38.57</v>
      </c>
      <c r="P1446" s="73">
        <v>29</v>
      </c>
      <c r="Q1446" s="35"/>
      <c r="R1446" s="31"/>
      <c r="S1446" s="102"/>
      <c r="T1446" s="102"/>
      <c r="U1446" s="73"/>
      <c r="V1446" s="189"/>
      <c r="W1446" s="203"/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4"/>
    </row>
    <row r="1447" spans="1:36" s="18" customFormat="1" ht="24.75" customHeight="1">
      <c r="A1447" s="285" t="s">
        <v>12</v>
      </c>
      <c r="B1447" s="321">
        <v>15</v>
      </c>
      <c r="C1447" s="321">
        <v>15</v>
      </c>
      <c r="D1447" s="344"/>
      <c r="E1447" s="361"/>
      <c r="F1447" s="361"/>
      <c r="G1447" s="361"/>
      <c r="H1447" s="362"/>
      <c r="I1447" s="363"/>
      <c r="J1447" s="192"/>
      <c r="K1447" s="64"/>
      <c r="L1447" s="29"/>
      <c r="M1447" s="82"/>
      <c r="N1447" s="94" t="s">
        <v>26</v>
      </c>
      <c r="O1447" s="73">
        <f>P1447*1.19</f>
        <v>20.23</v>
      </c>
      <c r="P1447" s="73">
        <v>17</v>
      </c>
      <c r="Q1447" s="35"/>
      <c r="R1447" s="31"/>
      <c r="S1447" s="102"/>
      <c r="T1447" s="102"/>
      <c r="U1447" s="73"/>
      <c r="V1447" s="189"/>
      <c r="W1447" s="203"/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4"/>
    </row>
    <row r="1448" spans="1:23" ht="24.75" customHeight="1">
      <c r="A1448" s="501" t="s">
        <v>267</v>
      </c>
      <c r="B1448" s="501"/>
      <c r="C1448" s="501"/>
      <c r="D1448" s="113">
        <v>100</v>
      </c>
      <c r="E1448" s="36">
        <v>8.2</v>
      </c>
      <c r="F1448" s="36">
        <v>1.4</v>
      </c>
      <c r="G1448" s="36">
        <v>38</v>
      </c>
      <c r="H1448" s="75">
        <f>E1448*4+F1448*9+G1448*4</f>
        <v>197.4</v>
      </c>
      <c r="I1448" s="192">
        <v>0</v>
      </c>
      <c r="J1448" s="192" t="s">
        <v>334</v>
      </c>
      <c r="N1448" s="200" t="s">
        <v>45</v>
      </c>
      <c r="O1448" s="73">
        <f>P1448*1.25</f>
        <v>56.25</v>
      </c>
      <c r="P1448" s="73">
        <v>45</v>
      </c>
      <c r="Q1448" s="35"/>
      <c r="R1448" s="31"/>
      <c r="S1448" s="102"/>
      <c r="T1448" s="102"/>
      <c r="U1448" s="73"/>
      <c r="V1448" s="189"/>
      <c r="W1448" s="203"/>
    </row>
    <row r="1449" spans="1:23" ht="24.75" customHeight="1">
      <c r="A1449" s="506" t="s">
        <v>70</v>
      </c>
      <c r="B1449" s="506"/>
      <c r="C1449" s="506"/>
      <c r="D1449" s="227">
        <v>70</v>
      </c>
      <c r="E1449" s="201">
        <v>4.62</v>
      </c>
      <c r="F1449" s="201">
        <v>0.84</v>
      </c>
      <c r="G1449" s="201">
        <v>23.38</v>
      </c>
      <c r="H1449" s="202">
        <v>119</v>
      </c>
      <c r="I1449" s="263">
        <v>0</v>
      </c>
      <c r="J1449" s="363"/>
      <c r="N1449" s="103" t="s">
        <v>144</v>
      </c>
      <c r="O1449" s="92">
        <v>56</v>
      </c>
      <c r="P1449" s="92">
        <v>55</v>
      </c>
      <c r="Q1449" s="35"/>
      <c r="R1449" s="31"/>
      <c r="S1449" s="102"/>
      <c r="T1449" s="102"/>
      <c r="U1449" s="73"/>
      <c r="V1449" s="189"/>
      <c r="W1449" s="203"/>
    </row>
    <row r="1450" spans="1:23" ht="24.75" customHeight="1">
      <c r="A1450" s="113" t="s">
        <v>59</v>
      </c>
      <c r="B1450" s="113"/>
      <c r="C1450" s="113"/>
      <c r="D1450" s="113"/>
      <c r="E1450" s="36">
        <f>SUM(E1451:E1466)</f>
        <v>2.6</v>
      </c>
      <c r="F1450" s="36">
        <f>SUM(F1451:F1466)</f>
        <v>5.9</v>
      </c>
      <c r="G1450" s="36">
        <f>SUM(G1451:G1466)</f>
        <v>68.2</v>
      </c>
      <c r="H1450" s="75">
        <f>SUM(H1451:H1466)</f>
        <v>336.3</v>
      </c>
      <c r="I1450" s="192">
        <f>SUM(I1451:I1466)</f>
        <v>19.42</v>
      </c>
      <c r="J1450" s="363"/>
      <c r="N1450" s="94" t="s">
        <v>27</v>
      </c>
      <c r="O1450" s="92">
        <v>12</v>
      </c>
      <c r="P1450" s="92">
        <v>12</v>
      </c>
      <c r="Q1450" s="35"/>
      <c r="R1450" s="31"/>
      <c r="S1450" s="102"/>
      <c r="T1450" s="102"/>
      <c r="U1450" s="73"/>
      <c r="V1450" s="189"/>
      <c r="W1450" s="203"/>
    </row>
    <row r="1451" spans="1:10" ht="24.75" customHeight="1">
      <c r="A1451" s="539" t="s">
        <v>495</v>
      </c>
      <c r="B1451" s="539"/>
      <c r="C1451" s="539"/>
      <c r="D1451" s="314">
        <v>90</v>
      </c>
      <c r="E1451" s="36">
        <v>2.5</v>
      </c>
      <c r="F1451" s="36">
        <v>5.9</v>
      </c>
      <c r="G1451" s="36">
        <v>46.2</v>
      </c>
      <c r="H1451" s="75">
        <f>E1451*4+F1451*9+G1451*4</f>
        <v>247.9</v>
      </c>
      <c r="I1451" s="192">
        <v>0.42</v>
      </c>
      <c r="J1451" s="363"/>
    </row>
    <row r="1452" spans="1:10" ht="24.75" customHeight="1">
      <c r="A1452" s="269" t="s">
        <v>28</v>
      </c>
      <c r="B1452" s="270">
        <v>35</v>
      </c>
      <c r="C1452" s="270">
        <v>35</v>
      </c>
      <c r="D1452" s="314"/>
      <c r="E1452" s="36"/>
      <c r="F1452" s="36"/>
      <c r="G1452" s="36"/>
      <c r="H1452" s="75"/>
      <c r="I1452" s="192"/>
      <c r="J1452" s="192"/>
    </row>
    <row r="1453" spans="1:36" s="18" customFormat="1" ht="24.75" customHeight="1">
      <c r="A1453" s="264" t="s">
        <v>148</v>
      </c>
      <c r="B1453" s="265">
        <v>17</v>
      </c>
      <c r="C1453" s="265">
        <v>17</v>
      </c>
      <c r="D1453" s="347"/>
      <c r="E1453" s="201"/>
      <c r="F1453" s="201"/>
      <c r="G1453" s="201"/>
      <c r="H1453" s="202"/>
      <c r="I1453" s="263"/>
      <c r="J1453" s="263"/>
      <c r="K1453" s="64"/>
      <c r="L1453" s="29"/>
      <c r="M1453" s="82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  <c r="AJ1453" s="24"/>
    </row>
    <row r="1454" spans="1:10" ht="24.75" customHeight="1">
      <c r="A1454" s="269" t="s">
        <v>12</v>
      </c>
      <c r="B1454" s="270">
        <v>4</v>
      </c>
      <c r="C1454" s="270">
        <v>4</v>
      </c>
      <c r="D1454" s="314"/>
      <c r="E1454" s="36"/>
      <c r="F1454" s="36"/>
      <c r="G1454" s="36"/>
      <c r="H1454" s="75"/>
      <c r="I1454" s="192"/>
      <c r="J1454" s="36"/>
    </row>
    <row r="1455" spans="1:10" ht="24.75" customHeight="1">
      <c r="A1455" s="269" t="s">
        <v>27</v>
      </c>
      <c r="B1455" s="270">
        <v>6</v>
      </c>
      <c r="C1455" s="270">
        <v>6</v>
      </c>
      <c r="D1455" s="314"/>
      <c r="E1455" s="36"/>
      <c r="F1455" s="36"/>
      <c r="G1455" s="36"/>
      <c r="H1455" s="75"/>
      <c r="I1455" s="192"/>
      <c r="J1455" s="293" t="s">
        <v>496</v>
      </c>
    </row>
    <row r="1456" spans="1:10" ht="24.75" customHeight="1">
      <c r="A1456" s="276" t="s">
        <v>29</v>
      </c>
      <c r="B1456" s="461">
        <v>7</v>
      </c>
      <c r="C1456" s="461">
        <v>7</v>
      </c>
      <c r="D1456" s="347"/>
      <c r="E1456" s="201"/>
      <c r="F1456" s="201"/>
      <c r="G1456" s="201"/>
      <c r="H1456" s="202"/>
      <c r="I1456" s="263"/>
      <c r="J1456" s="192"/>
    </row>
    <row r="1457" spans="1:10" ht="24.75" customHeight="1">
      <c r="A1457" s="269" t="s">
        <v>100</v>
      </c>
      <c r="B1457" s="270">
        <v>1.4</v>
      </c>
      <c r="C1457" s="270">
        <v>1.4</v>
      </c>
      <c r="D1457" s="314"/>
      <c r="E1457" s="36"/>
      <c r="F1457" s="36"/>
      <c r="G1457" s="36"/>
      <c r="H1457" s="75"/>
      <c r="I1457" s="192"/>
      <c r="J1457" s="263"/>
    </row>
    <row r="1458" spans="1:10" ht="24.75" customHeight="1">
      <c r="A1458" s="269" t="s">
        <v>218</v>
      </c>
      <c r="B1458" s="270">
        <v>0.6</v>
      </c>
      <c r="C1458" s="270">
        <v>0.6</v>
      </c>
      <c r="D1458" s="314"/>
      <c r="E1458" s="36"/>
      <c r="F1458" s="36"/>
      <c r="G1458" s="36"/>
      <c r="H1458" s="75"/>
      <c r="I1458" s="192"/>
      <c r="J1458" s="192"/>
    </row>
    <row r="1459" spans="1:10" ht="24.75" customHeight="1">
      <c r="A1459" s="269" t="s">
        <v>149</v>
      </c>
      <c r="B1459" s="270">
        <v>0.2</v>
      </c>
      <c r="C1459" s="270">
        <v>0.2</v>
      </c>
      <c r="D1459" s="314"/>
      <c r="E1459" s="36"/>
      <c r="F1459" s="36"/>
      <c r="G1459" s="36"/>
      <c r="H1459" s="75"/>
      <c r="I1459" s="192"/>
      <c r="J1459" s="192"/>
    </row>
    <row r="1460" spans="1:10" ht="24.75" customHeight="1">
      <c r="A1460" s="306" t="s">
        <v>157</v>
      </c>
      <c r="B1460" s="270"/>
      <c r="C1460" s="113">
        <v>70</v>
      </c>
      <c r="D1460" s="314"/>
      <c r="E1460" s="36"/>
      <c r="F1460" s="36"/>
      <c r="G1460" s="36"/>
      <c r="H1460" s="75"/>
      <c r="I1460" s="192"/>
      <c r="J1460" s="263"/>
    </row>
    <row r="1461" spans="1:12" ht="24.75" customHeight="1" thickBot="1">
      <c r="A1461" s="269" t="s">
        <v>43</v>
      </c>
      <c r="B1461" s="270">
        <v>32</v>
      </c>
      <c r="C1461" s="270">
        <v>31</v>
      </c>
      <c r="D1461" s="314"/>
      <c r="E1461" s="36"/>
      <c r="F1461" s="36"/>
      <c r="G1461" s="36"/>
      <c r="H1461" s="75"/>
      <c r="I1461" s="192"/>
      <c r="J1461" s="192"/>
      <c r="L1461" s="115" t="s">
        <v>101</v>
      </c>
    </row>
    <row r="1462" spans="1:36" s="18" customFormat="1" ht="24.75" customHeight="1">
      <c r="A1462" s="269" t="s">
        <v>108</v>
      </c>
      <c r="B1462" s="270">
        <v>10</v>
      </c>
      <c r="C1462" s="270">
        <v>10</v>
      </c>
      <c r="D1462" s="314"/>
      <c r="E1462" s="36"/>
      <c r="F1462" s="36"/>
      <c r="G1462" s="36"/>
      <c r="H1462" s="75"/>
      <c r="I1462" s="192"/>
      <c r="J1462" s="192"/>
      <c r="K1462" s="64"/>
      <c r="L1462" s="42" t="s">
        <v>70</v>
      </c>
      <c r="M1462" s="82">
        <f>D1577+D1605</f>
        <v>90</v>
      </c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4"/>
    </row>
    <row r="1463" spans="1:14" ht="24.75" customHeight="1">
      <c r="A1463" s="269" t="s">
        <v>12</v>
      </c>
      <c r="B1463" s="270">
        <v>5</v>
      </c>
      <c r="C1463" s="270">
        <v>5</v>
      </c>
      <c r="D1463" s="314"/>
      <c r="E1463" s="36"/>
      <c r="F1463" s="36"/>
      <c r="G1463" s="36"/>
      <c r="H1463" s="75"/>
      <c r="I1463" s="192"/>
      <c r="J1463" s="192"/>
      <c r="L1463" s="25" t="s">
        <v>80</v>
      </c>
      <c r="M1463" s="82">
        <f>+D1576+D1606+B1587+B1590+B1525</f>
        <v>148</v>
      </c>
      <c r="N1463" s="24">
        <f>D1576+B1587+B1590+D1606</f>
        <v>118</v>
      </c>
    </row>
    <row r="1464" spans="1:36" s="18" customFormat="1" ht="24.75" customHeight="1">
      <c r="A1464" s="306" t="s">
        <v>168</v>
      </c>
      <c r="B1464" s="270"/>
      <c r="C1464" s="113">
        <v>35</v>
      </c>
      <c r="D1464" s="314"/>
      <c r="E1464" s="36"/>
      <c r="F1464" s="36"/>
      <c r="G1464" s="36"/>
      <c r="H1464" s="75"/>
      <c r="I1464" s="192"/>
      <c r="J1464" s="192"/>
      <c r="K1464" s="64"/>
      <c r="L1464" s="25" t="s">
        <v>81</v>
      </c>
      <c r="M1464" s="78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24"/>
      <c r="AG1464" s="24"/>
      <c r="AH1464" s="24"/>
      <c r="AI1464" s="24"/>
      <c r="AJ1464" s="24"/>
    </row>
    <row r="1465" spans="1:36" s="18" customFormat="1" ht="24.75" customHeight="1">
      <c r="A1465" s="276" t="s">
        <v>117</v>
      </c>
      <c r="B1465" s="265">
        <v>0.5</v>
      </c>
      <c r="C1465" s="265">
        <v>0.5</v>
      </c>
      <c r="D1465" s="347"/>
      <c r="E1465" s="201"/>
      <c r="F1465" s="201"/>
      <c r="G1465" s="201"/>
      <c r="H1465" s="202"/>
      <c r="I1465" s="263"/>
      <c r="J1465" s="192"/>
      <c r="K1465" s="64"/>
      <c r="L1465" s="26" t="s">
        <v>123</v>
      </c>
      <c r="M1465" s="78">
        <f>B1513</f>
        <v>34</v>
      </c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4"/>
    </row>
    <row r="1466" spans="1:36" s="18" customFormat="1" ht="75" customHeight="1">
      <c r="A1466" s="515" t="s">
        <v>487</v>
      </c>
      <c r="B1466" s="515"/>
      <c r="C1466" s="515"/>
      <c r="D1466" s="227">
        <v>200</v>
      </c>
      <c r="E1466" s="201">
        <v>0.1</v>
      </c>
      <c r="F1466" s="201">
        <v>0</v>
      </c>
      <c r="G1466" s="201">
        <v>22</v>
      </c>
      <c r="H1466" s="202">
        <f>E1466*4+F1466*9+G1466*4</f>
        <v>88.4</v>
      </c>
      <c r="I1466" s="263">
        <v>19</v>
      </c>
      <c r="J1466" s="192"/>
      <c r="K1466" s="64"/>
      <c r="L1466" s="26"/>
      <c r="M1466" s="78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4"/>
    </row>
    <row r="1467" spans="1:36" s="18" customFormat="1" ht="24.75" customHeight="1">
      <c r="A1467" s="113" t="s">
        <v>30</v>
      </c>
      <c r="B1467" s="113"/>
      <c r="C1467" s="113"/>
      <c r="D1467" s="113"/>
      <c r="E1467" s="36">
        <f>E1468+E1476+E1487+E1497+E1501+E1502+E1494</f>
        <v>22.927999999999997</v>
      </c>
      <c r="F1467" s="36">
        <f>F1468+F1476+F1487+F1497+F1501+F1502+F1494</f>
        <v>21.27</v>
      </c>
      <c r="G1467" s="36">
        <f>G1468+G1476+G1487+G1497+G1501+G1502+G1494</f>
        <v>93.93</v>
      </c>
      <c r="H1467" s="75">
        <f>H1468+H1476+H1487+H1497+H1501+H1502+H1494</f>
        <v>654.862</v>
      </c>
      <c r="I1467" s="192">
        <f>I1468+I1476+I1487+I1497+I1501+I1502+I1494</f>
        <v>22.310000000000002</v>
      </c>
      <c r="J1467" s="192"/>
      <c r="K1467" s="64"/>
      <c r="L1467" s="25" t="s">
        <v>137</v>
      </c>
      <c r="M1467" s="78">
        <f>B1547+B1563</f>
        <v>292.6</v>
      </c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24"/>
      <c r="AG1467" s="24"/>
      <c r="AH1467" s="24"/>
      <c r="AI1467" s="24"/>
      <c r="AJ1467" s="24"/>
    </row>
    <row r="1468" spans="1:36" s="18" customFormat="1" ht="24.75" customHeight="1">
      <c r="A1468" s="501" t="s">
        <v>538</v>
      </c>
      <c r="B1468" s="501"/>
      <c r="C1468" s="501"/>
      <c r="D1468" s="113">
        <v>80</v>
      </c>
      <c r="E1468" s="36">
        <v>1.008</v>
      </c>
      <c r="F1468" s="36">
        <v>5</v>
      </c>
      <c r="G1468" s="36">
        <v>5.3</v>
      </c>
      <c r="H1468" s="75">
        <f>E1468*4+F1468*9+G1468*4</f>
        <v>70.232</v>
      </c>
      <c r="I1468" s="192">
        <v>6.43</v>
      </c>
      <c r="J1468" s="192"/>
      <c r="K1468" s="64"/>
      <c r="L1468" s="25" t="s">
        <v>82</v>
      </c>
      <c r="M1468" s="78">
        <f>+B1546+B1552+B1553+B1556+B1558+B1567+B1571+B1527+B1530+B1536+B1537+B1538+B1541</f>
        <v>292.63000000000005</v>
      </c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4"/>
    </row>
    <row r="1469" spans="1:36" s="18" customFormat="1" ht="24.75" customHeight="1">
      <c r="A1469" s="285" t="s">
        <v>25</v>
      </c>
      <c r="B1469" s="272">
        <f>C1469*1.25</f>
        <v>70</v>
      </c>
      <c r="C1469" s="270">
        <v>56</v>
      </c>
      <c r="D1469" s="75"/>
      <c r="E1469" s="36"/>
      <c r="F1469" s="36"/>
      <c r="G1469" s="36"/>
      <c r="H1469" s="75"/>
      <c r="I1469" s="192"/>
      <c r="J1469" s="263"/>
      <c r="K1469" s="64"/>
      <c r="L1469" s="25" t="s">
        <v>83</v>
      </c>
      <c r="M1469" s="78">
        <f>D1532</f>
        <v>180</v>
      </c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24"/>
      <c r="AG1469" s="24"/>
      <c r="AH1469" s="24"/>
      <c r="AI1469" s="24"/>
      <c r="AJ1469" s="24"/>
    </row>
    <row r="1470" spans="1:36" s="18" customFormat="1" ht="65.25" customHeight="1">
      <c r="A1470" s="285" t="s">
        <v>19</v>
      </c>
      <c r="B1470" s="272">
        <f>C1470*1.33</f>
        <v>74.48</v>
      </c>
      <c r="C1470" s="270">
        <v>56</v>
      </c>
      <c r="D1470" s="75"/>
      <c r="E1470" s="36"/>
      <c r="F1470" s="36"/>
      <c r="G1470" s="36"/>
      <c r="H1470" s="75"/>
      <c r="I1470" s="192"/>
      <c r="J1470" s="292" t="s">
        <v>486</v>
      </c>
      <c r="K1470" s="64"/>
      <c r="L1470" s="25" t="s">
        <v>124</v>
      </c>
      <c r="M1470" s="78">
        <f>D1581</f>
        <v>200</v>
      </c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4"/>
    </row>
    <row r="1471" spans="1:36" s="18" customFormat="1" ht="24.75" customHeight="1">
      <c r="A1471" s="381" t="s">
        <v>217</v>
      </c>
      <c r="B1471" s="272"/>
      <c r="C1471" s="113">
        <v>55</v>
      </c>
      <c r="D1471" s="75"/>
      <c r="E1471" s="36"/>
      <c r="F1471" s="36"/>
      <c r="G1471" s="36"/>
      <c r="H1471" s="75"/>
      <c r="I1471" s="192"/>
      <c r="J1471" s="75"/>
      <c r="K1471" s="64"/>
      <c r="L1471" s="25" t="s">
        <v>84</v>
      </c>
      <c r="M1471" s="78">
        <f>B1574</f>
        <v>25</v>
      </c>
      <c r="N1471" s="84">
        <f>B1516+B1522+B1555+B1575</f>
        <v>28.5</v>
      </c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4"/>
    </row>
    <row r="1472" spans="1:36" s="18" customFormat="1" ht="24.75" customHeight="1">
      <c r="A1472" s="276" t="s">
        <v>171</v>
      </c>
      <c r="B1472" s="272">
        <f>C1472*1.43</f>
        <v>17.16</v>
      </c>
      <c r="C1472" s="270">
        <v>12</v>
      </c>
      <c r="D1472" s="75"/>
      <c r="E1472" s="36"/>
      <c r="F1472" s="36"/>
      <c r="G1472" s="36"/>
      <c r="H1472" s="75"/>
      <c r="I1472" s="192"/>
      <c r="J1472" s="192" t="s">
        <v>334</v>
      </c>
      <c r="K1472" s="64"/>
      <c r="L1472" s="25" t="s">
        <v>85</v>
      </c>
      <c r="M1472" s="78">
        <f>B1516+B1522+B1555+B1575+B1603</f>
        <v>40.5</v>
      </c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24"/>
      <c r="AG1472" s="24"/>
      <c r="AH1472" s="24"/>
      <c r="AI1472" s="24"/>
      <c r="AJ1472" s="24"/>
    </row>
    <row r="1473" spans="1:36" s="18" customFormat="1" ht="24.75" customHeight="1">
      <c r="A1473" s="285" t="s">
        <v>12</v>
      </c>
      <c r="B1473" s="272">
        <v>2</v>
      </c>
      <c r="C1473" s="270">
        <v>2</v>
      </c>
      <c r="D1473" s="75"/>
      <c r="E1473" s="36"/>
      <c r="F1473" s="36"/>
      <c r="G1473" s="36"/>
      <c r="H1473" s="75"/>
      <c r="I1473" s="192"/>
      <c r="J1473" s="192"/>
      <c r="K1473" s="64"/>
      <c r="L1473" s="151" t="s">
        <v>197</v>
      </c>
      <c r="M1473" s="82">
        <f>D1579+D1604</f>
        <v>50</v>
      </c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4"/>
    </row>
    <row r="1474" spans="1:36" s="18" customFormat="1" ht="24.75" customHeight="1">
      <c r="A1474" s="285" t="s">
        <v>65</v>
      </c>
      <c r="B1474" s="271">
        <v>10.5</v>
      </c>
      <c r="C1474" s="270">
        <v>9</v>
      </c>
      <c r="D1474" s="75"/>
      <c r="E1474" s="36"/>
      <c r="F1474" s="36"/>
      <c r="G1474" s="36"/>
      <c r="H1474" s="75"/>
      <c r="I1474" s="192"/>
      <c r="J1474" s="192"/>
      <c r="K1474" s="64"/>
      <c r="L1474" s="25" t="s">
        <v>125</v>
      </c>
      <c r="M1474" s="78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/>
    </row>
    <row r="1475" spans="1:36" s="18" customFormat="1" ht="24.75" customHeight="1">
      <c r="A1475" s="285" t="s">
        <v>20</v>
      </c>
      <c r="B1475" s="272">
        <v>5</v>
      </c>
      <c r="C1475" s="270">
        <v>5</v>
      </c>
      <c r="D1475" s="75"/>
      <c r="E1475" s="36"/>
      <c r="F1475" s="36"/>
      <c r="G1475" s="36"/>
      <c r="H1475" s="75"/>
      <c r="I1475" s="192"/>
      <c r="J1475" s="192"/>
      <c r="K1475" s="64"/>
      <c r="L1475" s="25" t="s">
        <v>86</v>
      </c>
      <c r="M1475" s="78">
        <f>B1521+B1602</f>
        <v>0.8</v>
      </c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4"/>
    </row>
    <row r="1476" spans="1:36" s="18" customFormat="1" ht="38.25" customHeight="1">
      <c r="A1476" s="502" t="s">
        <v>589</v>
      </c>
      <c r="B1476" s="502"/>
      <c r="C1476" s="502"/>
      <c r="D1476" s="278" t="s">
        <v>239</v>
      </c>
      <c r="E1476" s="279">
        <v>9.6</v>
      </c>
      <c r="F1476" s="279">
        <v>10.7</v>
      </c>
      <c r="G1476" s="279">
        <v>5.3</v>
      </c>
      <c r="H1476" s="202">
        <f>E1476*4+F1476*9+G1476*4</f>
        <v>155.89999999999998</v>
      </c>
      <c r="I1476" s="263">
        <v>0.9</v>
      </c>
      <c r="J1476" s="192"/>
      <c r="K1476" s="64"/>
      <c r="L1476" s="25" t="s">
        <v>136</v>
      </c>
      <c r="M1476" s="78">
        <f>B1560+B1586</f>
        <v>177.22</v>
      </c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4"/>
    </row>
    <row r="1477" spans="1:36" s="18" customFormat="1" ht="34.5" customHeight="1">
      <c r="A1477" s="326" t="s">
        <v>601</v>
      </c>
      <c r="B1477" s="328">
        <v>172</v>
      </c>
      <c r="C1477" s="272">
        <v>119</v>
      </c>
      <c r="D1477" s="272"/>
      <c r="E1477" s="271"/>
      <c r="F1477" s="271"/>
      <c r="G1477" s="271"/>
      <c r="H1477" s="272"/>
      <c r="I1477" s="273"/>
      <c r="J1477" s="192"/>
      <c r="K1477" s="64"/>
      <c r="L1477" s="151" t="s">
        <v>199</v>
      </c>
      <c r="M1477" s="82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4"/>
    </row>
    <row r="1478" spans="1:36" s="18" customFormat="1" ht="29.25" customHeight="1">
      <c r="A1478" s="326" t="s">
        <v>160</v>
      </c>
      <c r="B1478" s="328">
        <f>C1478*1.82</f>
        <v>216.58</v>
      </c>
      <c r="C1478" s="270">
        <v>119</v>
      </c>
      <c r="D1478" s="272"/>
      <c r="E1478" s="36"/>
      <c r="F1478" s="36"/>
      <c r="G1478" s="36"/>
      <c r="H1478" s="75"/>
      <c r="I1478" s="192"/>
      <c r="J1478" s="192"/>
      <c r="K1478" s="64"/>
      <c r="L1478" s="25" t="s">
        <v>87</v>
      </c>
      <c r="M1478" s="78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4"/>
    </row>
    <row r="1479" spans="1:36" s="18" customFormat="1" ht="48" customHeight="1">
      <c r="A1479" s="326" t="s">
        <v>115</v>
      </c>
      <c r="B1479" s="328">
        <f>C1479*1.35</f>
        <v>152.55</v>
      </c>
      <c r="C1479" s="272">
        <v>113</v>
      </c>
      <c r="D1479" s="272"/>
      <c r="E1479" s="414"/>
      <c r="F1479" s="271"/>
      <c r="G1479" s="271"/>
      <c r="H1479" s="270"/>
      <c r="I1479" s="273"/>
      <c r="J1479" s="192"/>
      <c r="K1479" s="64"/>
      <c r="L1479" s="25" t="s">
        <v>127</v>
      </c>
      <c r="M1479" s="78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  <c r="AJ1479" s="24"/>
    </row>
    <row r="1480" spans="1:36" s="18" customFormat="1" ht="24.75" customHeight="1">
      <c r="A1480" s="327" t="s">
        <v>587</v>
      </c>
      <c r="B1480" s="305">
        <v>10</v>
      </c>
      <c r="C1480" s="272">
        <v>10</v>
      </c>
      <c r="D1480" s="272"/>
      <c r="E1480" s="367"/>
      <c r="F1480" s="367"/>
      <c r="G1480" s="367"/>
      <c r="H1480" s="329"/>
      <c r="I1480" s="318"/>
      <c r="J1480" s="263" t="s">
        <v>455</v>
      </c>
      <c r="K1480" s="64"/>
      <c r="L1480" s="26" t="s">
        <v>128</v>
      </c>
      <c r="M1480" s="78">
        <f>B1523++B1589+B1514</f>
        <v>255</v>
      </c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24"/>
      <c r="AG1480" s="24"/>
      <c r="AH1480" s="24"/>
      <c r="AI1480" s="24"/>
      <c r="AJ1480" s="24"/>
    </row>
    <row r="1481" spans="1:36" s="18" customFormat="1" ht="24.75" customHeight="1">
      <c r="A1481" s="304" t="s">
        <v>28</v>
      </c>
      <c r="B1481" s="305">
        <v>8</v>
      </c>
      <c r="C1481" s="329">
        <v>8</v>
      </c>
      <c r="D1481" s="272"/>
      <c r="E1481" s="414"/>
      <c r="F1481" s="271"/>
      <c r="G1481" s="271"/>
      <c r="H1481" s="270"/>
      <c r="I1481" s="273"/>
      <c r="J1481" s="273"/>
      <c r="K1481" s="64"/>
      <c r="L1481" s="26"/>
      <c r="M1481" s="78">
        <f>B1608</f>
        <v>206</v>
      </c>
      <c r="N1481" s="84">
        <f>B1514+B1523+B1589+B1608</f>
        <v>461</v>
      </c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24"/>
      <c r="AG1481" s="24"/>
      <c r="AH1481" s="24"/>
      <c r="AI1481" s="24"/>
      <c r="AJ1481" s="24"/>
    </row>
    <row r="1482" spans="1:36" s="18" customFormat="1" ht="24.75" customHeight="1">
      <c r="A1482" s="269" t="s">
        <v>588</v>
      </c>
      <c r="B1482" s="272">
        <v>39</v>
      </c>
      <c r="C1482" s="272">
        <v>38</v>
      </c>
      <c r="D1482" s="272"/>
      <c r="E1482" s="414"/>
      <c r="F1482" s="271"/>
      <c r="G1482" s="271"/>
      <c r="H1482" s="272"/>
      <c r="I1482" s="273"/>
      <c r="J1482" s="192"/>
      <c r="K1482" s="64"/>
      <c r="L1482" s="25" t="s">
        <v>88</v>
      </c>
      <c r="M1482" s="78">
        <f>+B1519</f>
        <v>100</v>
      </c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  <c r="AF1482" s="24"/>
      <c r="AG1482" s="24"/>
      <c r="AH1482" s="24"/>
      <c r="AI1482" s="24"/>
      <c r="AJ1482" s="24"/>
    </row>
    <row r="1483" spans="1:36" s="18" customFormat="1" ht="24.75" customHeight="1">
      <c r="A1483" s="269" t="s">
        <v>602</v>
      </c>
      <c r="B1483" s="272">
        <v>45</v>
      </c>
      <c r="C1483" s="272">
        <v>38</v>
      </c>
      <c r="D1483" s="272"/>
      <c r="E1483" s="414"/>
      <c r="F1483" s="271"/>
      <c r="G1483" s="271"/>
      <c r="H1483" s="272"/>
      <c r="I1483" s="273"/>
      <c r="J1483" s="192"/>
      <c r="K1483" s="64"/>
      <c r="L1483" s="25"/>
      <c r="M1483" s="78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24"/>
      <c r="AG1483" s="24"/>
      <c r="AH1483" s="24"/>
      <c r="AI1483" s="24"/>
      <c r="AJ1483" s="24"/>
    </row>
    <row r="1484" spans="1:36" s="18" customFormat="1" ht="24.75" customHeight="1">
      <c r="A1484" s="269" t="s">
        <v>93</v>
      </c>
      <c r="B1484" s="272">
        <v>7</v>
      </c>
      <c r="C1484" s="272">
        <v>7</v>
      </c>
      <c r="D1484" s="272"/>
      <c r="E1484" s="414"/>
      <c r="F1484" s="271"/>
      <c r="G1484" s="271"/>
      <c r="H1484" s="272"/>
      <c r="I1484" s="273"/>
      <c r="J1484" s="273"/>
      <c r="K1484" s="64"/>
      <c r="L1484" s="25" t="s">
        <v>89</v>
      </c>
      <c r="M1484" s="78">
        <f>B1557</f>
        <v>5</v>
      </c>
      <c r="N1484" s="24">
        <f>B1557</f>
        <v>5</v>
      </c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4"/>
    </row>
    <row r="1485" spans="1:36" s="18" customFormat="1" ht="24.75" customHeight="1">
      <c r="A1485" s="285" t="s">
        <v>27</v>
      </c>
      <c r="B1485" s="290">
        <v>5</v>
      </c>
      <c r="C1485" s="290">
        <v>5</v>
      </c>
      <c r="D1485" s="286"/>
      <c r="E1485" s="287"/>
      <c r="F1485" s="287"/>
      <c r="G1485" s="287"/>
      <c r="H1485" s="290"/>
      <c r="I1485" s="288"/>
      <c r="J1485" s="318"/>
      <c r="K1485" s="64"/>
      <c r="L1485" s="25"/>
      <c r="M1485" s="78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4"/>
    </row>
    <row r="1486" spans="1:14" ht="42.75" customHeight="1">
      <c r="A1486" s="518" t="s">
        <v>456</v>
      </c>
      <c r="B1486" s="518"/>
      <c r="C1486" s="518"/>
      <c r="D1486" s="278" t="s">
        <v>575</v>
      </c>
      <c r="E1486" s="287"/>
      <c r="F1486" s="287"/>
      <c r="G1486" s="287"/>
      <c r="H1486" s="290"/>
      <c r="I1486" s="288"/>
      <c r="J1486" s="273"/>
      <c r="L1486" s="25"/>
      <c r="M1486" s="78"/>
      <c r="N1486" s="84"/>
    </row>
    <row r="1487" spans="1:36" s="18" customFormat="1" ht="24.75" customHeight="1">
      <c r="A1487" s="501" t="s">
        <v>145</v>
      </c>
      <c r="B1487" s="501"/>
      <c r="C1487" s="501"/>
      <c r="D1487" s="113">
        <v>200</v>
      </c>
      <c r="E1487" s="36">
        <v>3.5</v>
      </c>
      <c r="F1487" s="36">
        <v>4.13</v>
      </c>
      <c r="G1487" s="36">
        <v>27.33</v>
      </c>
      <c r="H1487" s="75">
        <f>E1487*4+F1487*9+G1487*4</f>
        <v>160.49</v>
      </c>
      <c r="I1487" s="192">
        <v>9.28</v>
      </c>
      <c r="J1487" s="273"/>
      <c r="K1487" s="64"/>
      <c r="L1487" s="25" t="s">
        <v>63</v>
      </c>
      <c r="M1487" s="78">
        <f>B1542+B1591+B1562</f>
        <v>14</v>
      </c>
      <c r="N1487" s="84">
        <f>B1542+B1562+B1591</f>
        <v>14</v>
      </c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4"/>
    </row>
    <row r="1488" spans="1:36" s="18" customFormat="1" ht="24.75" customHeight="1">
      <c r="A1488" s="269" t="s">
        <v>21</v>
      </c>
      <c r="B1488" s="290">
        <f>C1488*1.33</f>
        <v>266</v>
      </c>
      <c r="C1488" s="272">
        <v>200</v>
      </c>
      <c r="D1488" s="281"/>
      <c r="E1488" s="283"/>
      <c r="F1488" s="283"/>
      <c r="G1488" s="283"/>
      <c r="H1488" s="281"/>
      <c r="I1488" s="284"/>
      <c r="J1488" s="273"/>
      <c r="K1488" s="64"/>
      <c r="L1488" s="255"/>
      <c r="M1488" s="78"/>
      <c r="N1488" s="8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4"/>
    </row>
    <row r="1489" spans="1:36" s="18" customFormat="1" ht="24.75" customHeight="1" thickBot="1">
      <c r="A1489" s="269" t="s">
        <v>22</v>
      </c>
      <c r="B1489" s="290">
        <f>C1489*1.43</f>
        <v>286</v>
      </c>
      <c r="C1489" s="272">
        <v>200</v>
      </c>
      <c r="D1489" s="281"/>
      <c r="E1489" s="271"/>
      <c r="F1489" s="271"/>
      <c r="G1489" s="271"/>
      <c r="H1489" s="272"/>
      <c r="I1489" s="273"/>
      <c r="J1489" s="288"/>
      <c r="K1489" s="64"/>
      <c r="L1489" s="27" t="s">
        <v>91</v>
      </c>
      <c r="M1489" s="78">
        <f>+B1588++B1535</f>
        <v>45</v>
      </c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24"/>
      <c r="AG1489" s="24"/>
      <c r="AH1489" s="24"/>
      <c r="AI1489" s="24"/>
      <c r="AJ1489" s="24"/>
    </row>
    <row r="1490" spans="1:36" s="18" customFormat="1" ht="24.75" customHeight="1">
      <c r="A1490" s="285" t="s">
        <v>23</v>
      </c>
      <c r="B1490" s="290">
        <f>C1490*1.54</f>
        <v>308</v>
      </c>
      <c r="C1490" s="272">
        <v>200</v>
      </c>
      <c r="D1490" s="281"/>
      <c r="E1490" s="271"/>
      <c r="F1490" s="271"/>
      <c r="G1490" s="271"/>
      <c r="H1490" s="272"/>
      <c r="I1490" s="273"/>
      <c r="J1490" s="288"/>
      <c r="K1490" s="64"/>
      <c r="L1490" s="152" t="s">
        <v>200</v>
      </c>
      <c r="M1490" s="82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4"/>
    </row>
    <row r="1491" spans="1:36" s="18" customFormat="1" ht="24.75" customHeight="1">
      <c r="A1491" s="285" t="s">
        <v>24</v>
      </c>
      <c r="B1491" s="290">
        <f>C1491*1.67</f>
        <v>334</v>
      </c>
      <c r="C1491" s="272">
        <v>200</v>
      </c>
      <c r="D1491" s="281"/>
      <c r="E1491" s="271"/>
      <c r="F1491" s="271"/>
      <c r="G1491" s="271"/>
      <c r="H1491" s="272"/>
      <c r="I1491" s="273"/>
      <c r="J1491" s="192" t="s">
        <v>365</v>
      </c>
      <c r="K1491" s="64"/>
      <c r="L1491" s="29" t="s">
        <v>206</v>
      </c>
      <c r="M1491" s="156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  <c r="AJ1491" s="24"/>
    </row>
    <row r="1492" spans="1:36" s="18" customFormat="1" ht="24.75" customHeight="1">
      <c r="A1492" s="269" t="s">
        <v>27</v>
      </c>
      <c r="B1492" s="272">
        <v>5</v>
      </c>
      <c r="C1492" s="272">
        <v>5</v>
      </c>
      <c r="D1492" s="319"/>
      <c r="E1492" s="36"/>
      <c r="F1492" s="36"/>
      <c r="G1492" s="36"/>
      <c r="H1492" s="36"/>
      <c r="I1492" s="192"/>
      <c r="J1492" s="284"/>
      <c r="K1492" s="64"/>
      <c r="L1492" s="29"/>
      <c r="M1492" s="82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4"/>
    </row>
    <row r="1493" spans="1:36" s="18" customFormat="1" ht="24.75" customHeight="1">
      <c r="A1493" s="285" t="s">
        <v>68</v>
      </c>
      <c r="B1493" s="290">
        <v>3</v>
      </c>
      <c r="C1493" s="286">
        <v>2</v>
      </c>
      <c r="D1493" s="270"/>
      <c r="E1493" s="271"/>
      <c r="F1493" s="271"/>
      <c r="G1493" s="271"/>
      <c r="H1493" s="272"/>
      <c r="I1493" s="273"/>
      <c r="J1493" s="273"/>
      <c r="K1493" s="21"/>
      <c r="L1493" s="29"/>
      <c r="M1493" s="82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4"/>
    </row>
    <row r="1494" spans="1:36" s="18" customFormat="1" ht="24.75" customHeight="1">
      <c r="A1494" s="381" t="s">
        <v>429</v>
      </c>
      <c r="B1494" s="290"/>
      <c r="C1494" s="286"/>
      <c r="D1494" s="307">
        <v>50</v>
      </c>
      <c r="E1494" s="36">
        <v>0.4</v>
      </c>
      <c r="F1494" s="36">
        <v>0</v>
      </c>
      <c r="G1494" s="36">
        <v>1.2</v>
      </c>
      <c r="H1494" s="75">
        <f>E1494*4+F1494*9+G1494*4</f>
        <v>6.4</v>
      </c>
      <c r="I1494" s="192">
        <v>4.9</v>
      </c>
      <c r="J1494" s="273"/>
      <c r="K1494" s="64"/>
      <c r="L1494" s="29"/>
      <c r="M1494" s="82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24"/>
      <c r="AG1494" s="24"/>
      <c r="AH1494" s="24"/>
      <c r="AI1494" s="24"/>
      <c r="AJ1494" s="24"/>
    </row>
    <row r="1495" spans="1:36" s="18" customFormat="1" ht="24.75" customHeight="1">
      <c r="A1495" s="316" t="s">
        <v>210</v>
      </c>
      <c r="B1495" s="329">
        <f>C1495*1.05</f>
        <v>52.5</v>
      </c>
      <c r="C1495" s="330">
        <v>50</v>
      </c>
      <c r="D1495" s="382"/>
      <c r="E1495" s="201"/>
      <c r="F1495" s="201"/>
      <c r="G1495" s="201"/>
      <c r="H1495" s="227"/>
      <c r="I1495" s="263"/>
      <c r="J1495" s="273"/>
      <c r="K1495" s="64"/>
      <c r="L1495" s="29"/>
      <c r="M1495" s="82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4"/>
    </row>
    <row r="1496" spans="1:10" ht="24.75" customHeight="1">
      <c r="A1496" s="291" t="s">
        <v>211</v>
      </c>
      <c r="B1496" s="290">
        <f>C1496*1.02</f>
        <v>51</v>
      </c>
      <c r="C1496" s="330">
        <v>50</v>
      </c>
      <c r="D1496" s="331"/>
      <c r="E1496" s="36"/>
      <c r="F1496" s="36"/>
      <c r="G1496" s="36"/>
      <c r="H1496" s="113"/>
      <c r="I1496" s="192"/>
      <c r="J1496" s="192"/>
    </row>
    <row r="1497" spans="1:10" ht="24.75" customHeight="1">
      <c r="A1497" s="501" t="s">
        <v>14</v>
      </c>
      <c r="B1497" s="501"/>
      <c r="C1497" s="501"/>
      <c r="D1497" s="113" t="s">
        <v>15</v>
      </c>
      <c r="E1497" s="36">
        <v>0.2</v>
      </c>
      <c r="F1497" s="36">
        <v>0</v>
      </c>
      <c r="G1497" s="36">
        <v>15.3</v>
      </c>
      <c r="H1497" s="75">
        <v>58</v>
      </c>
      <c r="I1497" s="192">
        <v>0.8</v>
      </c>
      <c r="J1497" s="273"/>
    </row>
    <row r="1498" spans="1:36" s="18" customFormat="1" ht="24.75" customHeight="1">
      <c r="A1498" s="269" t="s">
        <v>16</v>
      </c>
      <c r="B1498" s="270">
        <v>0.4</v>
      </c>
      <c r="C1498" s="270">
        <v>0.4</v>
      </c>
      <c r="D1498" s="270"/>
      <c r="E1498" s="271"/>
      <c r="F1498" s="271"/>
      <c r="G1498" s="271"/>
      <c r="H1498" s="272"/>
      <c r="I1498" s="273"/>
      <c r="J1498" s="263"/>
      <c r="K1498" s="64"/>
      <c r="L1498" s="29"/>
      <c r="M1498" s="82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4"/>
    </row>
    <row r="1499" spans="1:10" ht="24.75" customHeight="1">
      <c r="A1499" s="285" t="s">
        <v>12</v>
      </c>
      <c r="B1499" s="270">
        <v>15</v>
      </c>
      <c r="C1499" s="270">
        <v>15</v>
      </c>
      <c r="D1499" s="270"/>
      <c r="E1499" s="271"/>
      <c r="F1499" s="271"/>
      <c r="G1499" s="271"/>
      <c r="H1499" s="272"/>
      <c r="I1499" s="273"/>
      <c r="J1499" s="263"/>
    </row>
    <row r="1500" spans="1:36" s="18" customFormat="1" ht="24.75" customHeight="1">
      <c r="A1500" s="285" t="s">
        <v>17</v>
      </c>
      <c r="B1500" s="270">
        <v>6</v>
      </c>
      <c r="C1500" s="270">
        <v>5</v>
      </c>
      <c r="D1500" s="270"/>
      <c r="E1500" s="271"/>
      <c r="F1500" s="271"/>
      <c r="G1500" s="271"/>
      <c r="H1500" s="272"/>
      <c r="I1500" s="273"/>
      <c r="J1500" s="192"/>
      <c r="K1500" s="64"/>
      <c r="L1500" s="29"/>
      <c r="M1500" s="82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4"/>
    </row>
    <row r="1501" spans="1:36" s="18" customFormat="1" ht="24.75" customHeight="1">
      <c r="A1501" s="506" t="s">
        <v>70</v>
      </c>
      <c r="B1501" s="506"/>
      <c r="C1501" s="506"/>
      <c r="D1501" s="227">
        <v>50</v>
      </c>
      <c r="E1501" s="201">
        <v>3.3</v>
      </c>
      <c r="F1501" s="201">
        <v>0.6</v>
      </c>
      <c r="G1501" s="201">
        <v>16.7</v>
      </c>
      <c r="H1501" s="202">
        <f>E1501*4+F1501*9+G1501*4</f>
        <v>85.39999999999999</v>
      </c>
      <c r="I1501" s="263">
        <v>0</v>
      </c>
      <c r="J1501" s="192" t="s">
        <v>385</v>
      </c>
      <c r="K1501" s="64"/>
      <c r="L1501" s="29"/>
      <c r="M1501" s="82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  <c r="AF1501" s="24"/>
      <c r="AG1501" s="24"/>
      <c r="AH1501" s="24"/>
      <c r="AI1501" s="24"/>
      <c r="AJ1501" s="24"/>
    </row>
    <row r="1502" spans="1:10" ht="24.75" customHeight="1">
      <c r="A1502" s="501" t="s">
        <v>267</v>
      </c>
      <c r="B1502" s="501"/>
      <c r="C1502" s="501"/>
      <c r="D1502" s="113">
        <v>60</v>
      </c>
      <c r="E1502" s="36">
        <v>4.919999999999999</v>
      </c>
      <c r="F1502" s="36">
        <v>0.84</v>
      </c>
      <c r="G1502" s="36">
        <v>22.8</v>
      </c>
      <c r="H1502" s="75">
        <v>118.44</v>
      </c>
      <c r="I1502" s="192">
        <v>0</v>
      </c>
      <c r="J1502" s="273"/>
    </row>
    <row r="1503" spans="1:36" s="18" customFormat="1" ht="24.75" customHeight="1">
      <c r="A1503" s="426" t="s">
        <v>220</v>
      </c>
      <c r="B1503" s="427"/>
      <c r="C1503" s="427"/>
      <c r="D1503" s="427"/>
      <c r="E1503" s="427"/>
      <c r="F1503" s="427"/>
      <c r="G1503" s="427"/>
      <c r="H1503" s="427"/>
      <c r="I1503" s="427"/>
      <c r="J1503" s="273"/>
      <c r="K1503" s="64"/>
      <c r="L1503" s="29"/>
      <c r="M1503" s="82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24"/>
      <c r="AG1503" s="24"/>
      <c r="AH1503" s="24"/>
      <c r="AI1503" s="24"/>
      <c r="AJ1503" s="24"/>
    </row>
    <row r="1504" spans="1:36" s="18" customFormat="1" ht="24.75" customHeight="1">
      <c r="A1504" s="332" t="s">
        <v>246</v>
      </c>
      <c r="B1504" s="265">
        <v>206</v>
      </c>
      <c r="C1504" s="281">
        <v>200</v>
      </c>
      <c r="D1504" s="227">
        <v>200</v>
      </c>
      <c r="E1504" s="201">
        <v>4.2</v>
      </c>
      <c r="F1504" s="201">
        <v>4.8</v>
      </c>
      <c r="G1504" s="201">
        <v>8</v>
      </c>
      <c r="H1504" s="202">
        <f>E1504*4+F1504*9+G1504*4</f>
        <v>92</v>
      </c>
      <c r="I1504" s="263">
        <v>1.37</v>
      </c>
      <c r="J1504" s="273"/>
      <c r="K1504" s="64"/>
      <c r="L1504" s="29"/>
      <c r="M1504" s="82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  <c r="AF1504" s="24"/>
      <c r="AG1504" s="24"/>
      <c r="AH1504" s="24"/>
      <c r="AI1504" s="24"/>
      <c r="AJ1504" s="24"/>
    </row>
    <row r="1505" spans="1:36" s="18" customFormat="1" ht="24.75" customHeight="1">
      <c r="A1505" s="333" t="s">
        <v>140</v>
      </c>
      <c r="B1505" s="333"/>
      <c r="C1505" s="333"/>
      <c r="D1505" s="333"/>
      <c r="E1505" s="348">
        <f>E1503+E1467+E1450+E1392+E1365+E1390</f>
        <v>74.13799999999999</v>
      </c>
      <c r="F1505" s="384">
        <f>F1503+F1467+F1450+F1392+F1365+F1390</f>
        <v>84.97153846153847</v>
      </c>
      <c r="G1505" s="334">
        <f>G1503+G1467+G1450+G1392+G1365+G1390</f>
        <v>374.14</v>
      </c>
      <c r="H1505" s="352">
        <f>H1503+H1467+H1450+H1392+H1365+H1390</f>
        <v>2553.295846153846</v>
      </c>
      <c r="I1505" s="386">
        <f>I1503+I1467+I1450+I1392+I1365+I1390</f>
        <v>85.8925</v>
      </c>
      <c r="J1505" s="263"/>
      <c r="K1505" s="64"/>
      <c r="L1505" s="29"/>
      <c r="M1505" s="82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  <c r="AJ1505" s="24"/>
    </row>
    <row r="1506" spans="1:36" s="18" customFormat="1" ht="24.75" customHeight="1">
      <c r="A1506" s="429" t="s">
        <v>32</v>
      </c>
      <c r="B1506" s="430"/>
      <c r="C1506" s="430"/>
      <c r="D1506" s="430"/>
      <c r="E1506" s="430"/>
      <c r="F1506" s="430"/>
      <c r="G1506" s="430"/>
      <c r="H1506" s="430"/>
      <c r="I1506" s="430"/>
      <c r="J1506" s="192"/>
      <c r="K1506" s="64"/>
      <c r="L1506" s="29"/>
      <c r="M1506" s="82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24"/>
      <c r="AI1506" s="24"/>
      <c r="AJ1506" s="24"/>
    </row>
    <row r="1507" spans="1:36" s="18" customFormat="1" ht="24.75" customHeight="1">
      <c r="A1507" s="429" t="s">
        <v>101</v>
      </c>
      <c r="B1507" s="430"/>
      <c r="C1507" s="430"/>
      <c r="D1507" s="430"/>
      <c r="E1507" s="430"/>
      <c r="F1507" s="430"/>
      <c r="G1507" s="430"/>
      <c r="H1507" s="430"/>
      <c r="I1507" s="430"/>
      <c r="J1507" s="428"/>
      <c r="K1507" s="64"/>
      <c r="L1507" s="29"/>
      <c r="M1507" s="82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24"/>
      <c r="AC1507" s="24"/>
      <c r="AD1507" s="24"/>
      <c r="AE1507" s="24"/>
      <c r="AF1507" s="24"/>
      <c r="AG1507" s="24"/>
      <c r="AH1507" s="24"/>
      <c r="AI1507" s="24"/>
      <c r="AJ1507" s="24"/>
    </row>
    <row r="1508" spans="1:36" s="18" customFormat="1" ht="52.5" customHeight="1">
      <c r="A1508" s="498" t="s">
        <v>2</v>
      </c>
      <c r="B1508" s="497" t="s">
        <v>3</v>
      </c>
      <c r="C1508" s="497" t="s">
        <v>4</v>
      </c>
      <c r="D1508" s="498" t="s">
        <v>5</v>
      </c>
      <c r="E1508" s="498"/>
      <c r="F1508" s="498"/>
      <c r="G1508" s="498"/>
      <c r="H1508" s="498"/>
      <c r="I1508" s="498"/>
      <c r="J1508" s="263" t="s">
        <v>364</v>
      </c>
      <c r="K1508" s="64"/>
      <c r="L1508" s="29"/>
      <c r="M1508" s="82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24"/>
      <c r="AC1508" s="24"/>
      <c r="AD1508" s="24"/>
      <c r="AE1508" s="24"/>
      <c r="AF1508" s="24"/>
      <c r="AG1508" s="24"/>
      <c r="AH1508" s="24"/>
      <c r="AI1508" s="24"/>
      <c r="AJ1508" s="24"/>
    </row>
    <row r="1509" spans="1:36" s="18" customFormat="1" ht="24.75" customHeight="1">
      <c r="A1509" s="498"/>
      <c r="B1509" s="497"/>
      <c r="C1509" s="497"/>
      <c r="D1509" s="497" t="s">
        <v>6</v>
      </c>
      <c r="E1509" s="485" t="s">
        <v>7</v>
      </c>
      <c r="F1509" s="485" t="s">
        <v>8</v>
      </c>
      <c r="G1509" s="485" t="s">
        <v>9</v>
      </c>
      <c r="H1509" s="494" t="s">
        <v>10</v>
      </c>
      <c r="I1509" s="527" t="s">
        <v>303</v>
      </c>
      <c r="J1509" s="334"/>
      <c r="K1509" s="64"/>
      <c r="L1509" s="29"/>
      <c r="M1509" s="82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24"/>
      <c r="AG1509" s="24"/>
      <c r="AH1509" s="24"/>
      <c r="AI1509" s="24"/>
      <c r="AJ1509" s="24"/>
    </row>
    <row r="1510" spans="1:10" ht="24.75" customHeight="1">
      <c r="A1510" s="498"/>
      <c r="B1510" s="497"/>
      <c r="C1510" s="497"/>
      <c r="D1510" s="497"/>
      <c r="E1510" s="485"/>
      <c r="F1510" s="485"/>
      <c r="G1510" s="485"/>
      <c r="H1510" s="494"/>
      <c r="I1510" s="527"/>
      <c r="J1510" s="431"/>
    </row>
    <row r="1511" spans="1:36" s="18" customFormat="1" ht="24.75" customHeight="1">
      <c r="A1511" s="113" t="s">
        <v>591</v>
      </c>
      <c r="B1511" s="113"/>
      <c r="C1511" s="113"/>
      <c r="D1511" s="113"/>
      <c r="E1511" s="36">
        <f>SUM(E1512:E1532)</f>
        <v>15.9</v>
      </c>
      <c r="F1511" s="36">
        <f>SUM(F1512:F1532)</f>
        <v>26.6</v>
      </c>
      <c r="G1511" s="36">
        <f>SUM(G1512:G1532)</f>
        <v>87.5</v>
      </c>
      <c r="H1511" s="75">
        <f>SUM(H1512:H1532)</f>
        <v>653</v>
      </c>
      <c r="I1511" s="192">
        <f>SUM(I1512:I1532)</f>
        <v>15.61</v>
      </c>
      <c r="J1511" s="431"/>
      <c r="K1511" s="64"/>
      <c r="L1511" s="29"/>
      <c r="M1511" s="82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24"/>
      <c r="AG1511" s="24"/>
      <c r="AH1511" s="24"/>
      <c r="AI1511" s="24"/>
      <c r="AJ1511" s="24"/>
    </row>
    <row r="1512" spans="1:36" s="18" customFormat="1" ht="24.75" customHeight="1">
      <c r="A1512" s="501" t="s">
        <v>107</v>
      </c>
      <c r="B1512" s="501"/>
      <c r="C1512" s="501"/>
      <c r="D1512" s="113" t="s">
        <v>236</v>
      </c>
      <c r="E1512" s="36">
        <v>6.3</v>
      </c>
      <c r="F1512" s="36">
        <v>11.4</v>
      </c>
      <c r="G1512" s="36">
        <v>32.7</v>
      </c>
      <c r="H1512" s="75">
        <f>E1512*4+F1512*9+G1512*4</f>
        <v>258.6</v>
      </c>
      <c r="I1512" s="192">
        <v>1.12</v>
      </c>
      <c r="J1512" s="526" t="s">
        <v>302</v>
      </c>
      <c r="K1512" s="64"/>
      <c r="L1512" s="29"/>
      <c r="M1512" s="82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  <c r="AJ1512" s="24"/>
    </row>
    <row r="1513" spans="1:10" ht="24.75" customHeight="1">
      <c r="A1513" s="269" t="s">
        <v>62</v>
      </c>
      <c r="B1513" s="272">
        <v>34</v>
      </c>
      <c r="C1513" s="272">
        <v>34</v>
      </c>
      <c r="D1513" s="75"/>
      <c r="E1513" s="36"/>
      <c r="F1513" s="36"/>
      <c r="G1513" s="36"/>
      <c r="H1513" s="36"/>
      <c r="I1513" s="192"/>
      <c r="J1513" s="526"/>
    </row>
    <row r="1514" spans="1:36" s="18" customFormat="1" ht="24.75" customHeight="1">
      <c r="A1514" s="280" t="s">
        <v>148</v>
      </c>
      <c r="B1514" s="167">
        <v>136</v>
      </c>
      <c r="C1514" s="167">
        <v>136</v>
      </c>
      <c r="D1514" s="75"/>
      <c r="E1514" s="201"/>
      <c r="F1514" s="201"/>
      <c r="G1514" s="201"/>
      <c r="H1514" s="202"/>
      <c r="I1514" s="263"/>
      <c r="J1514" s="526"/>
      <c r="K1514" s="64"/>
      <c r="L1514" s="29"/>
      <c r="M1514" s="82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24"/>
      <c r="AG1514" s="24"/>
      <c r="AH1514" s="24"/>
      <c r="AI1514" s="24"/>
      <c r="AJ1514" s="24"/>
    </row>
    <row r="1515" spans="1:36" s="18" customFormat="1" ht="24.75" customHeight="1">
      <c r="A1515" s="280" t="s">
        <v>108</v>
      </c>
      <c r="B1515" s="167">
        <v>89</v>
      </c>
      <c r="C1515" s="167">
        <v>89</v>
      </c>
      <c r="D1515" s="202"/>
      <c r="E1515" s="201"/>
      <c r="F1515" s="201"/>
      <c r="G1515" s="201"/>
      <c r="H1515" s="202"/>
      <c r="I1515" s="263"/>
      <c r="J1515" s="36"/>
      <c r="K1515" s="64"/>
      <c r="L1515" s="29"/>
      <c r="M1515" s="82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/>
      <c r="AI1515" s="24"/>
      <c r="AJ1515" s="24"/>
    </row>
    <row r="1516" spans="1:36" s="18" customFormat="1" ht="24.75" customHeight="1">
      <c r="A1516" s="285" t="s">
        <v>12</v>
      </c>
      <c r="B1516" s="272">
        <v>5</v>
      </c>
      <c r="C1516" s="272">
        <v>5</v>
      </c>
      <c r="D1516" s="75"/>
      <c r="E1516" s="36"/>
      <c r="F1516" s="271"/>
      <c r="G1516" s="268"/>
      <c r="H1516" s="419"/>
      <c r="I1516" s="450"/>
      <c r="J1516" s="192" t="s">
        <v>341</v>
      </c>
      <c r="K1516" s="64"/>
      <c r="L1516" s="29"/>
      <c r="M1516" s="82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24"/>
      <c r="AE1516" s="24"/>
      <c r="AF1516" s="24"/>
      <c r="AG1516" s="24"/>
      <c r="AH1516" s="24"/>
      <c r="AI1516" s="24"/>
      <c r="AJ1516" s="24"/>
    </row>
    <row r="1517" spans="1:10" ht="24.75" customHeight="1">
      <c r="A1517" s="274" t="s">
        <v>149</v>
      </c>
      <c r="B1517" s="271">
        <v>1.3000000000000003</v>
      </c>
      <c r="C1517" s="271">
        <v>1.3000000000000003</v>
      </c>
      <c r="D1517" s="75"/>
      <c r="E1517" s="36"/>
      <c r="F1517" s="271"/>
      <c r="G1517" s="268"/>
      <c r="H1517" s="419"/>
      <c r="I1517" s="450"/>
      <c r="J1517" s="75"/>
    </row>
    <row r="1518" spans="1:10" ht="24.75" customHeight="1">
      <c r="A1518" s="269" t="s">
        <v>27</v>
      </c>
      <c r="B1518" s="270">
        <v>10</v>
      </c>
      <c r="C1518" s="270">
        <v>10</v>
      </c>
      <c r="D1518" s="75"/>
      <c r="E1518" s="36"/>
      <c r="F1518" s="271"/>
      <c r="G1518" s="271"/>
      <c r="H1518" s="272"/>
      <c r="I1518" s="273"/>
      <c r="J1518" s="263"/>
    </row>
    <row r="1519" spans="1:10" ht="24.75" customHeight="1">
      <c r="A1519" s="322" t="s">
        <v>521</v>
      </c>
      <c r="B1519" s="286">
        <v>100</v>
      </c>
      <c r="C1519" s="286">
        <v>100</v>
      </c>
      <c r="D1519" s="278">
        <v>100</v>
      </c>
      <c r="E1519" s="279">
        <v>3.2</v>
      </c>
      <c r="F1519" s="292">
        <v>5.4</v>
      </c>
      <c r="G1519" s="292">
        <v>10.5</v>
      </c>
      <c r="H1519" s="75">
        <f>E1519*4+F1519*9+G1519*4</f>
        <v>103.4</v>
      </c>
      <c r="I1519" s="192">
        <v>0.49</v>
      </c>
      <c r="J1519" s="263"/>
    </row>
    <row r="1520" spans="1:10" ht="24.75" customHeight="1">
      <c r="A1520" s="262" t="s">
        <v>39</v>
      </c>
      <c r="B1520" s="262"/>
      <c r="C1520" s="262"/>
      <c r="D1520" s="113">
        <v>200</v>
      </c>
      <c r="E1520" s="201">
        <v>2.8</v>
      </c>
      <c r="F1520" s="201">
        <v>2.8</v>
      </c>
      <c r="G1520" s="201">
        <v>13.5</v>
      </c>
      <c r="H1520" s="75">
        <f>E1520*4+F1520*9+G1520*4</f>
        <v>90.4</v>
      </c>
      <c r="I1520" s="192">
        <v>0</v>
      </c>
      <c r="J1520" s="192"/>
    </row>
    <row r="1521" spans="1:36" s="18" customFormat="1" ht="24.75" customHeight="1">
      <c r="A1521" s="269" t="s">
        <v>16</v>
      </c>
      <c r="B1521" s="270">
        <v>0.4</v>
      </c>
      <c r="C1521" s="270">
        <v>0.4</v>
      </c>
      <c r="D1521" s="270"/>
      <c r="E1521" s="36"/>
      <c r="F1521" s="36"/>
      <c r="G1521" s="36"/>
      <c r="H1521" s="75"/>
      <c r="I1521" s="192"/>
      <c r="J1521" s="273"/>
      <c r="K1521" s="64"/>
      <c r="L1521" s="29"/>
      <c r="M1521" s="82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4"/>
      <c r="AD1521" s="24"/>
      <c r="AE1521" s="24"/>
      <c r="AF1521" s="24"/>
      <c r="AG1521" s="24"/>
      <c r="AH1521" s="24"/>
      <c r="AI1521" s="24"/>
      <c r="AJ1521" s="24"/>
    </row>
    <row r="1522" spans="1:10" ht="24.75" customHeight="1">
      <c r="A1522" s="269" t="s">
        <v>12</v>
      </c>
      <c r="B1522" s="270">
        <v>12</v>
      </c>
      <c r="C1522" s="270">
        <v>12</v>
      </c>
      <c r="D1522" s="270"/>
      <c r="E1522" s="271"/>
      <c r="F1522" s="271"/>
      <c r="G1522" s="271"/>
      <c r="H1522" s="272"/>
      <c r="I1522" s="273"/>
      <c r="J1522" s="273"/>
    </row>
    <row r="1523" spans="1:36" s="18" customFormat="1" ht="61.5" customHeight="1">
      <c r="A1523" s="280" t="s">
        <v>148</v>
      </c>
      <c r="B1523" s="265">
        <v>100</v>
      </c>
      <c r="C1523" s="265">
        <v>100</v>
      </c>
      <c r="D1523" s="265"/>
      <c r="E1523" s="266"/>
      <c r="F1523" s="266"/>
      <c r="G1523" s="266"/>
      <c r="H1523" s="266"/>
      <c r="I1523" s="267"/>
      <c r="J1523" s="192"/>
      <c r="K1523" s="64"/>
      <c r="L1523" s="29"/>
      <c r="M1523" s="82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24"/>
      <c r="AG1523" s="24"/>
      <c r="AH1523" s="24"/>
      <c r="AI1523" s="24"/>
      <c r="AJ1523" s="24"/>
    </row>
    <row r="1524" spans="1:36" s="18" customFormat="1" ht="24.75" customHeight="1">
      <c r="A1524" s="322" t="s">
        <v>380</v>
      </c>
      <c r="B1524" s="265"/>
      <c r="C1524" s="265"/>
      <c r="D1524" s="227">
        <v>70</v>
      </c>
      <c r="E1524" s="201">
        <v>3.2</v>
      </c>
      <c r="F1524" s="201">
        <v>7</v>
      </c>
      <c r="G1524" s="201">
        <v>12.8</v>
      </c>
      <c r="H1524" s="202">
        <f>E1524*4+F1524*9+G1524*4</f>
        <v>127</v>
      </c>
      <c r="I1524" s="263">
        <v>2</v>
      </c>
      <c r="J1524" s="395" t="s">
        <v>386</v>
      </c>
      <c r="K1524" s="64"/>
      <c r="L1524" s="29"/>
      <c r="M1524" s="82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24"/>
      <c r="AG1524" s="24"/>
      <c r="AH1524" s="24"/>
      <c r="AI1524" s="24"/>
      <c r="AJ1524" s="24"/>
    </row>
    <row r="1525" spans="1:36" s="18" customFormat="1" ht="24.75" customHeight="1">
      <c r="A1525" s="276" t="s">
        <v>36</v>
      </c>
      <c r="B1525" s="270">
        <v>30</v>
      </c>
      <c r="C1525" s="270">
        <v>30</v>
      </c>
      <c r="D1525" s="270"/>
      <c r="E1525" s="271"/>
      <c r="F1525" s="271"/>
      <c r="G1525" s="271"/>
      <c r="H1525" s="272"/>
      <c r="I1525" s="273"/>
      <c r="J1525" s="192"/>
      <c r="K1525" s="64"/>
      <c r="L1525" s="29"/>
      <c r="M1525" s="82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/>
      <c r="AI1525" s="24"/>
      <c r="AJ1525" s="24"/>
    </row>
    <row r="1526" spans="1:10" ht="24.75" customHeight="1">
      <c r="A1526" s="276" t="s">
        <v>27</v>
      </c>
      <c r="B1526" s="270">
        <v>5</v>
      </c>
      <c r="C1526" s="270">
        <v>5</v>
      </c>
      <c r="D1526" s="270"/>
      <c r="E1526" s="271"/>
      <c r="F1526" s="271"/>
      <c r="G1526" s="271"/>
      <c r="H1526" s="272"/>
      <c r="I1526" s="273"/>
      <c r="J1526" s="273"/>
    </row>
    <row r="1527" spans="1:36" s="18" customFormat="1" ht="24.75" customHeight="1">
      <c r="A1527" s="276" t="s">
        <v>381</v>
      </c>
      <c r="B1527" s="270">
        <f>C1527*1.02</f>
        <v>20.4</v>
      </c>
      <c r="C1527" s="270">
        <v>20</v>
      </c>
      <c r="D1527" s="270"/>
      <c r="E1527" s="271"/>
      <c r="F1527" s="271"/>
      <c r="G1527" s="271"/>
      <c r="H1527" s="272"/>
      <c r="I1527" s="273"/>
      <c r="J1527" s="267"/>
      <c r="K1527" s="64"/>
      <c r="L1527" s="29"/>
      <c r="M1527" s="82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/>
      <c r="AC1527" s="24"/>
      <c r="AD1527" s="24"/>
      <c r="AE1527" s="24"/>
      <c r="AF1527" s="24"/>
      <c r="AG1527" s="24"/>
      <c r="AH1527" s="24"/>
      <c r="AI1527" s="24"/>
      <c r="AJ1527" s="24"/>
    </row>
    <row r="1528" spans="1:36" s="18" customFormat="1" ht="24.75" customHeight="1">
      <c r="A1528" s="276" t="s">
        <v>382</v>
      </c>
      <c r="B1528" s="270">
        <f>C1528*1.18</f>
        <v>23.599999999999998</v>
      </c>
      <c r="C1528" s="270">
        <v>20</v>
      </c>
      <c r="D1528" s="270"/>
      <c r="E1528" s="271"/>
      <c r="F1528" s="271"/>
      <c r="G1528" s="271"/>
      <c r="H1528" s="272"/>
      <c r="I1528" s="273"/>
      <c r="J1528" s="263" t="s">
        <v>334</v>
      </c>
      <c r="K1528" s="64"/>
      <c r="L1528" s="29"/>
      <c r="M1528" s="82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/>
      <c r="AC1528" s="24"/>
      <c r="AD1528" s="24"/>
      <c r="AE1528" s="24"/>
      <c r="AF1528" s="24"/>
      <c r="AG1528" s="24"/>
      <c r="AH1528" s="24"/>
      <c r="AI1528" s="24"/>
      <c r="AJ1528" s="24"/>
    </row>
    <row r="1529" spans="1:10" ht="24.75" customHeight="1">
      <c r="A1529" s="276" t="s">
        <v>383</v>
      </c>
      <c r="B1529" s="270">
        <v>16</v>
      </c>
      <c r="C1529" s="270">
        <v>15</v>
      </c>
      <c r="D1529" s="270"/>
      <c r="E1529" s="271"/>
      <c r="F1529" s="271"/>
      <c r="G1529" s="271"/>
      <c r="H1529" s="272"/>
      <c r="I1529" s="273"/>
      <c r="J1529" s="192"/>
    </row>
    <row r="1530" spans="1:36" s="18" customFormat="1" ht="24.75" customHeight="1">
      <c r="A1530" s="276" t="s">
        <v>68</v>
      </c>
      <c r="B1530" s="271">
        <f>C1530*1.35</f>
        <v>4.050000000000001</v>
      </c>
      <c r="C1530" s="270">
        <v>3</v>
      </c>
      <c r="D1530" s="270"/>
      <c r="E1530" s="271"/>
      <c r="F1530" s="271"/>
      <c r="G1530" s="271"/>
      <c r="H1530" s="272"/>
      <c r="I1530" s="273"/>
      <c r="J1530" s="273"/>
      <c r="K1530" s="64"/>
      <c r="L1530" s="29"/>
      <c r="M1530" s="82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/>
      <c r="AC1530" s="24"/>
      <c r="AD1530" s="24"/>
      <c r="AE1530" s="24"/>
      <c r="AF1530" s="24"/>
      <c r="AG1530" s="24"/>
      <c r="AH1530" s="24"/>
      <c r="AI1530" s="24"/>
      <c r="AJ1530" s="24"/>
    </row>
    <row r="1531" spans="1:36" s="18" customFormat="1" ht="24.75" customHeight="1">
      <c r="A1531" s="426" t="s">
        <v>150</v>
      </c>
      <c r="B1531" s="427"/>
      <c r="C1531" s="427"/>
      <c r="D1531" s="427"/>
      <c r="E1531" s="427"/>
      <c r="F1531" s="427"/>
      <c r="G1531" s="427"/>
      <c r="H1531" s="427"/>
      <c r="I1531" s="427"/>
      <c r="J1531" s="273"/>
      <c r="K1531" s="64"/>
      <c r="L1531" s="29"/>
      <c r="M1531" s="82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  <c r="AJ1531" s="24"/>
    </row>
    <row r="1532" spans="1:36" s="18" customFormat="1" ht="24.75" customHeight="1">
      <c r="A1532" s="492" t="s">
        <v>337</v>
      </c>
      <c r="B1532" s="492"/>
      <c r="C1532" s="492"/>
      <c r="D1532" s="282">
        <v>180</v>
      </c>
      <c r="E1532" s="201">
        <v>0.4</v>
      </c>
      <c r="F1532" s="279">
        <v>0</v>
      </c>
      <c r="G1532" s="201">
        <v>18</v>
      </c>
      <c r="H1532" s="202">
        <f>E1532*4+F1532*9+G1532*4</f>
        <v>73.6</v>
      </c>
      <c r="I1532" s="263">
        <v>12</v>
      </c>
      <c r="J1532" s="273"/>
      <c r="K1532" s="64"/>
      <c r="L1532" s="29"/>
      <c r="M1532" s="82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/>
      <c r="AC1532" s="24"/>
      <c r="AD1532" s="24"/>
      <c r="AE1532" s="24"/>
      <c r="AF1532" s="24"/>
      <c r="AG1532" s="24"/>
      <c r="AH1532" s="24"/>
      <c r="AI1532" s="24"/>
      <c r="AJ1532" s="24"/>
    </row>
    <row r="1533" spans="1:36" s="18" customFormat="1" ht="24.75" customHeight="1">
      <c r="A1533" s="113" t="s">
        <v>57</v>
      </c>
      <c r="B1533" s="113"/>
      <c r="C1533" s="113"/>
      <c r="D1533" s="113"/>
      <c r="E1533" s="36">
        <f>SUM(E1534:E1577)</f>
        <v>30.450000000000003</v>
      </c>
      <c r="F1533" s="36">
        <f>SUM(F1534:F1577)</f>
        <v>27.6</v>
      </c>
      <c r="G1533" s="36">
        <f>SUM(G1534:G1577)</f>
        <v>115.80000000000001</v>
      </c>
      <c r="H1533" s="75">
        <f>SUM(H1534:H1577)</f>
        <v>832.9</v>
      </c>
      <c r="I1533" s="192">
        <f>SUM(I1534:I1577)</f>
        <v>14.27</v>
      </c>
      <c r="J1533" s="273"/>
      <c r="K1533" s="64"/>
      <c r="L1533" s="29"/>
      <c r="M1533" s="82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24"/>
      <c r="AC1533" s="24"/>
      <c r="AD1533" s="24"/>
      <c r="AE1533" s="24"/>
      <c r="AF1533" s="24"/>
      <c r="AG1533" s="24"/>
      <c r="AH1533" s="24"/>
      <c r="AI1533" s="24"/>
      <c r="AJ1533" s="24"/>
    </row>
    <row r="1534" spans="1:36" s="18" customFormat="1" ht="24.75" customHeight="1">
      <c r="A1534" s="501" t="s">
        <v>457</v>
      </c>
      <c r="B1534" s="501"/>
      <c r="C1534" s="501"/>
      <c r="D1534" s="113">
        <v>80</v>
      </c>
      <c r="E1534" s="201">
        <v>5.8</v>
      </c>
      <c r="F1534" s="201">
        <v>9.5</v>
      </c>
      <c r="G1534" s="201">
        <v>1.9</v>
      </c>
      <c r="H1534" s="202">
        <f>E1534*4+F1534*9+G1534*4</f>
        <v>116.3</v>
      </c>
      <c r="I1534" s="263">
        <v>4.6</v>
      </c>
      <c r="J1534" s="273"/>
      <c r="K1534" s="64"/>
      <c r="L1534" s="29"/>
      <c r="M1534" s="82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24"/>
      <c r="AG1534" s="24"/>
      <c r="AH1534" s="24"/>
      <c r="AI1534" s="24"/>
      <c r="AJ1534" s="24"/>
    </row>
    <row r="1535" spans="1:36" s="18" customFormat="1" ht="31.5" customHeight="1">
      <c r="A1535" s="276" t="s">
        <v>459</v>
      </c>
      <c r="B1535" s="270">
        <v>40</v>
      </c>
      <c r="C1535" s="270">
        <v>40</v>
      </c>
      <c r="D1535" s="113"/>
      <c r="E1535" s="36"/>
      <c r="F1535" s="36"/>
      <c r="G1535" s="36"/>
      <c r="H1535" s="36"/>
      <c r="I1535" s="192"/>
      <c r="J1535" s="428"/>
      <c r="K1535" s="64"/>
      <c r="L1535" s="29"/>
      <c r="M1535" s="82" t="s">
        <v>605</v>
      </c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/>
      <c r="AI1535" s="24"/>
      <c r="AJ1535" s="24"/>
    </row>
    <row r="1536" spans="1:36" s="18" customFormat="1" ht="45" customHeight="1">
      <c r="A1536" s="276" t="s">
        <v>214</v>
      </c>
      <c r="B1536" s="272">
        <f>C1536*1.54</f>
        <v>15.4</v>
      </c>
      <c r="C1536" s="270">
        <v>10</v>
      </c>
      <c r="D1536" s="113"/>
      <c r="E1536" s="36"/>
      <c r="F1536" s="36"/>
      <c r="G1536" s="36"/>
      <c r="H1536" s="75"/>
      <c r="I1536" s="309"/>
      <c r="J1536" s="263"/>
      <c r="K1536" s="64"/>
      <c r="L1536" s="29"/>
      <c r="M1536" s="82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24"/>
      <c r="AG1536" s="24"/>
      <c r="AH1536" s="24"/>
      <c r="AI1536" s="24"/>
      <c r="AJ1536" s="24"/>
    </row>
    <row r="1537" spans="1:36" s="18" customFormat="1" ht="24.75" customHeight="1">
      <c r="A1537" s="276" t="s">
        <v>584</v>
      </c>
      <c r="B1537" s="272">
        <v>17</v>
      </c>
      <c r="C1537" s="270">
        <v>12</v>
      </c>
      <c r="D1537" s="113"/>
      <c r="E1537" s="36"/>
      <c r="F1537" s="36"/>
      <c r="G1537" s="36"/>
      <c r="H1537" s="75"/>
      <c r="I1537" s="309"/>
      <c r="J1537" s="36"/>
      <c r="K1537" s="64"/>
      <c r="L1537" s="29"/>
      <c r="M1537" s="82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  <c r="Y1537" s="24"/>
      <c r="Z1537" s="24"/>
      <c r="AA1537" s="24"/>
      <c r="AB1537" s="24"/>
      <c r="AC1537" s="24"/>
      <c r="AD1537" s="24"/>
      <c r="AE1537" s="24"/>
      <c r="AF1537" s="24"/>
      <c r="AG1537" s="24"/>
      <c r="AH1537" s="24"/>
      <c r="AI1537" s="24"/>
      <c r="AJ1537" s="24"/>
    </row>
    <row r="1538" spans="1:36" s="18" customFormat="1" ht="24.75" customHeight="1">
      <c r="A1538" s="269" t="s">
        <v>26</v>
      </c>
      <c r="B1538" s="167">
        <f>C1538*1.19</f>
        <v>5.949999999999999</v>
      </c>
      <c r="C1538" s="270">
        <v>5</v>
      </c>
      <c r="D1538" s="113"/>
      <c r="E1538" s="36"/>
      <c r="F1538" s="36"/>
      <c r="G1538" s="36"/>
      <c r="H1538" s="75"/>
      <c r="I1538" s="309"/>
      <c r="J1538" s="192" t="s">
        <v>334</v>
      </c>
      <c r="K1538" s="64"/>
      <c r="L1538" s="29"/>
      <c r="M1538" s="82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/>
      <c r="AC1538" s="24"/>
      <c r="AD1538" s="24"/>
      <c r="AE1538" s="24"/>
      <c r="AF1538" s="24"/>
      <c r="AG1538" s="24"/>
      <c r="AH1538" s="24"/>
      <c r="AI1538" s="24"/>
      <c r="AJ1538" s="24"/>
    </row>
    <row r="1539" spans="1:36" s="18" customFormat="1" ht="32.25" customHeight="1">
      <c r="A1539" s="269" t="s">
        <v>291</v>
      </c>
      <c r="B1539" s="270">
        <f>C1539*1.25</f>
        <v>6.25</v>
      </c>
      <c r="C1539" s="270">
        <v>5</v>
      </c>
      <c r="D1539" s="113"/>
      <c r="E1539" s="36"/>
      <c r="F1539" s="36"/>
      <c r="G1539" s="36"/>
      <c r="H1539" s="36"/>
      <c r="I1539" s="192"/>
      <c r="J1539" s="36"/>
      <c r="K1539" s="64"/>
      <c r="L1539" s="29"/>
      <c r="M1539" s="82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24"/>
      <c r="AG1539" s="24"/>
      <c r="AH1539" s="24"/>
      <c r="AI1539" s="24"/>
      <c r="AJ1539" s="24"/>
    </row>
    <row r="1540" spans="1:36" s="18" customFormat="1" ht="32.25" customHeight="1">
      <c r="A1540" s="269" t="s">
        <v>210</v>
      </c>
      <c r="B1540" s="272">
        <f>C1540*1.05</f>
        <v>15.75</v>
      </c>
      <c r="C1540" s="270">
        <v>15</v>
      </c>
      <c r="D1540" s="113"/>
      <c r="E1540" s="36"/>
      <c r="F1540" s="36"/>
      <c r="G1540" s="36"/>
      <c r="H1540" s="75"/>
      <c r="I1540" s="309"/>
      <c r="J1540" s="345"/>
      <c r="K1540" s="64"/>
      <c r="L1540" s="29"/>
      <c r="M1540" s="82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/>
      <c r="AC1540" s="24"/>
      <c r="AD1540" s="24"/>
      <c r="AE1540" s="24"/>
      <c r="AF1540" s="24"/>
      <c r="AG1540" s="24"/>
      <c r="AH1540" s="24"/>
      <c r="AI1540" s="24"/>
      <c r="AJ1540" s="24"/>
    </row>
    <row r="1541" spans="1:36" s="18" customFormat="1" ht="29.25" customHeight="1">
      <c r="A1541" s="269" t="s">
        <v>211</v>
      </c>
      <c r="B1541" s="271">
        <f>C1541*1.02</f>
        <v>15.3</v>
      </c>
      <c r="C1541" s="270">
        <v>15</v>
      </c>
      <c r="D1541" s="113"/>
      <c r="E1541" s="36"/>
      <c r="F1541" s="36"/>
      <c r="G1541" s="36"/>
      <c r="H1541" s="75"/>
      <c r="I1541" s="309"/>
      <c r="J1541" s="345"/>
      <c r="K1541" s="64"/>
      <c r="L1541" s="29"/>
      <c r="M1541" s="82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24"/>
      <c r="AG1541" s="24"/>
      <c r="AH1541" s="24"/>
      <c r="AI1541" s="24"/>
      <c r="AJ1541" s="24"/>
    </row>
    <row r="1542" spans="1:36" s="18" customFormat="1" ht="24.75" customHeight="1">
      <c r="A1542" s="269" t="s">
        <v>20</v>
      </c>
      <c r="B1542" s="272">
        <v>5</v>
      </c>
      <c r="C1542" s="272">
        <v>5</v>
      </c>
      <c r="D1542" s="113"/>
      <c r="E1542" s="36"/>
      <c r="F1542" s="271"/>
      <c r="G1542" s="271"/>
      <c r="H1542" s="272"/>
      <c r="I1542" s="273"/>
      <c r="J1542" s="345"/>
      <c r="K1542" s="64"/>
      <c r="L1542" s="29"/>
      <c r="M1542" s="82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24"/>
      <c r="AG1542" s="24"/>
      <c r="AH1542" s="24"/>
      <c r="AI1542" s="24"/>
      <c r="AJ1542" s="24"/>
    </row>
    <row r="1543" spans="1:36" s="18" customFormat="1" ht="24.75" customHeight="1">
      <c r="A1543" s="502" t="s">
        <v>552</v>
      </c>
      <c r="B1543" s="502"/>
      <c r="C1543" s="502"/>
      <c r="D1543" s="278" t="s">
        <v>551</v>
      </c>
      <c r="E1543" s="292">
        <v>8.05</v>
      </c>
      <c r="F1543" s="292">
        <v>6.3</v>
      </c>
      <c r="G1543" s="292">
        <v>17.2</v>
      </c>
      <c r="H1543" s="75">
        <f>E1543*4+F1543*9+G1543*4</f>
        <v>157.7</v>
      </c>
      <c r="I1543" s="192">
        <v>3.67</v>
      </c>
      <c r="J1543" s="345"/>
      <c r="K1543" s="64"/>
      <c r="L1543" s="29"/>
      <c r="M1543" s="82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4"/>
      <c r="AD1543" s="24"/>
      <c r="AE1543" s="24"/>
      <c r="AF1543" s="24"/>
      <c r="AG1543" s="24"/>
      <c r="AH1543" s="24"/>
      <c r="AI1543" s="24"/>
      <c r="AJ1543" s="24"/>
    </row>
    <row r="1544" spans="1:36" s="18" customFormat="1" ht="24.75" customHeight="1">
      <c r="A1544" s="286" t="s">
        <v>51</v>
      </c>
      <c r="B1544" s="286">
        <v>41</v>
      </c>
      <c r="C1544" s="286">
        <v>36</v>
      </c>
      <c r="D1544" s="278"/>
      <c r="E1544" s="292"/>
      <c r="F1544" s="292"/>
      <c r="G1544" s="292"/>
      <c r="H1544" s="75"/>
      <c r="I1544" s="192"/>
      <c r="J1544" s="345"/>
      <c r="K1544" s="64"/>
      <c r="L1544" s="29"/>
      <c r="M1544" s="82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24"/>
      <c r="AG1544" s="24"/>
      <c r="AH1544" s="24"/>
      <c r="AI1544" s="24"/>
      <c r="AJ1544" s="24"/>
    </row>
    <row r="1545" spans="1:36" s="18" customFormat="1" ht="24.75" customHeight="1">
      <c r="A1545" s="285" t="s">
        <v>52</v>
      </c>
      <c r="B1545" s="290">
        <f>C1545*1.25</f>
        <v>113.75</v>
      </c>
      <c r="C1545" s="290">
        <v>91</v>
      </c>
      <c r="D1545" s="296"/>
      <c r="E1545" s="295"/>
      <c r="F1545" s="295"/>
      <c r="G1545" s="295"/>
      <c r="H1545" s="296"/>
      <c r="I1545" s="297"/>
      <c r="J1545" s="345"/>
      <c r="K1545" s="64"/>
      <c r="L1545" s="29"/>
      <c r="M1545" s="82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/>
      <c r="AI1545" s="24"/>
      <c r="AJ1545" s="24"/>
    </row>
    <row r="1546" spans="1:36" s="18" customFormat="1" ht="24.75" customHeight="1">
      <c r="A1546" s="285" t="s">
        <v>19</v>
      </c>
      <c r="B1546" s="290">
        <f>C1546*1.33</f>
        <v>121.03</v>
      </c>
      <c r="C1546" s="290">
        <v>91</v>
      </c>
      <c r="D1546" s="278"/>
      <c r="E1546" s="292"/>
      <c r="F1546" s="292"/>
      <c r="G1546" s="292"/>
      <c r="H1546" s="75"/>
      <c r="I1546" s="192"/>
      <c r="J1546" s="273"/>
      <c r="K1546" s="64"/>
      <c r="L1546" s="29"/>
      <c r="M1546" s="82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24"/>
      <c r="AE1546" s="24"/>
      <c r="AF1546" s="24"/>
      <c r="AG1546" s="24"/>
      <c r="AH1546" s="24"/>
      <c r="AI1546" s="24"/>
      <c r="AJ1546" s="24"/>
    </row>
    <row r="1547" spans="1:36" s="18" customFormat="1" ht="24.75" customHeight="1">
      <c r="A1547" s="285" t="s">
        <v>21</v>
      </c>
      <c r="B1547" s="290">
        <f>C1547*1.33</f>
        <v>73.15</v>
      </c>
      <c r="C1547" s="290">
        <v>55</v>
      </c>
      <c r="D1547" s="281"/>
      <c r="E1547" s="283"/>
      <c r="F1547" s="283"/>
      <c r="G1547" s="283"/>
      <c r="H1547" s="281"/>
      <c r="I1547" s="284"/>
      <c r="J1547" s="395" t="s">
        <v>539</v>
      </c>
      <c r="K1547" s="64"/>
      <c r="L1547" s="29"/>
      <c r="M1547" s="82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24"/>
      <c r="AG1547" s="24"/>
      <c r="AH1547" s="24"/>
      <c r="AI1547" s="24"/>
      <c r="AJ1547" s="24"/>
    </row>
    <row r="1548" spans="1:36" s="18" customFormat="1" ht="24.75" customHeight="1">
      <c r="A1548" s="285" t="s">
        <v>22</v>
      </c>
      <c r="B1548" s="290">
        <f>C1548*1.43</f>
        <v>78.64999999999999</v>
      </c>
      <c r="C1548" s="290">
        <v>55</v>
      </c>
      <c r="D1548" s="296"/>
      <c r="E1548" s="295"/>
      <c r="F1548" s="295"/>
      <c r="G1548" s="295"/>
      <c r="H1548" s="296"/>
      <c r="I1548" s="297"/>
      <c r="J1548" s="395"/>
      <c r="K1548" s="64"/>
      <c r="L1548" s="29"/>
      <c r="M1548" s="82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/>
      <c r="AC1548" s="24"/>
      <c r="AD1548" s="24"/>
      <c r="AE1548" s="24"/>
      <c r="AF1548" s="24"/>
      <c r="AG1548" s="24"/>
      <c r="AH1548" s="24"/>
      <c r="AI1548" s="24"/>
      <c r="AJ1548" s="24"/>
    </row>
    <row r="1549" spans="1:36" s="18" customFormat="1" ht="24.75" customHeight="1">
      <c r="A1549" s="285" t="s">
        <v>23</v>
      </c>
      <c r="B1549" s="290">
        <f>C1549*1.54</f>
        <v>84.7</v>
      </c>
      <c r="C1549" s="290">
        <v>55</v>
      </c>
      <c r="D1549" s="296"/>
      <c r="E1549" s="295"/>
      <c r="F1549" s="295"/>
      <c r="G1549" s="295"/>
      <c r="H1549" s="296"/>
      <c r="I1549" s="297"/>
      <c r="J1549" s="297"/>
      <c r="K1549" s="64"/>
      <c r="L1549" s="29"/>
      <c r="M1549" s="82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/>
      <c r="AC1549" s="24"/>
      <c r="AD1549" s="24"/>
      <c r="AE1549" s="24"/>
      <c r="AF1549" s="24"/>
      <c r="AG1549" s="24"/>
      <c r="AH1549" s="24"/>
      <c r="AI1549" s="24"/>
      <c r="AJ1549" s="24"/>
    </row>
    <row r="1550" spans="1:36" s="18" customFormat="1" ht="24.75" customHeight="1">
      <c r="A1550" s="285" t="s">
        <v>24</v>
      </c>
      <c r="B1550" s="290">
        <f>C1550*1.67</f>
        <v>91.85</v>
      </c>
      <c r="C1550" s="290">
        <v>55</v>
      </c>
      <c r="D1550" s="296"/>
      <c r="E1550" s="295"/>
      <c r="F1550" s="295"/>
      <c r="G1550" s="295"/>
      <c r="H1550" s="296"/>
      <c r="I1550" s="297"/>
      <c r="J1550" s="192"/>
      <c r="K1550" s="64"/>
      <c r="L1550" s="29"/>
      <c r="M1550" s="82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24"/>
      <c r="AG1550" s="24"/>
      <c r="AH1550" s="24"/>
      <c r="AI1550" s="24"/>
      <c r="AJ1550" s="24"/>
    </row>
    <row r="1551" spans="1:36" s="18" customFormat="1" ht="24.75" customHeight="1">
      <c r="A1551" s="285" t="s">
        <v>25</v>
      </c>
      <c r="B1551" s="290">
        <f>C1551*1.25</f>
        <v>17.5</v>
      </c>
      <c r="C1551" s="290">
        <v>14</v>
      </c>
      <c r="D1551" s="296"/>
      <c r="E1551" s="295"/>
      <c r="F1551" s="295"/>
      <c r="G1551" s="295"/>
      <c r="H1551" s="296"/>
      <c r="I1551" s="297"/>
      <c r="J1551" s="284"/>
      <c r="K1551" s="64"/>
      <c r="L1551" s="29"/>
      <c r="M1551" s="82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  <c r="Y1551" s="24"/>
      <c r="Z1551" s="24"/>
      <c r="AA1551" s="24"/>
      <c r="AB1551" s="24"/>
      <c r="AC1551" s="24"/>
      <c r="AD1551" s="24"/>
      <c r="AE1551" s="24"/>
      <c r="AF1551" s="24"/>
      <c r="AG1551" s="24"/>
      <c r="AH1551" s="24"/>
      <c r="AI1551" s="24"/>
      <c r="AJ1551" s="24"/>
    </row>
    <row r="1552" spans="1:10" ht="24.75" customHeight="1">
      <c r="A1552" s="285" t="s">
        <v>19</v>
      </c>
      <c r="B1552" s="290">
        <f>C1552*1.33</f>
        <v>18.62</v>
      </c>
      <c r="C1552" s="290">
        <v>14</v>
      </c>
      <c r="D1552" s="296"/>
      <c r="E1552" s="295"/>
      <c r="F1552" s="295"/>
      <c r="G1552" s="295"/>
      <c r="H1552" s="296"/>
      <c r="I1552" s="297"/>
      <c r="J1552" s="297"/>
    </row>
    <row r="1553" spans="1:10" ht="24.75" customHeight="1">
      <c r="A1553" s="285" t="s">
        <v>26</v>
      </c>
      <c r="B1553" s="290">
        <f>C1553*1.19</f>
        <v>14.28</v>
      </c>
      <c r="C1553" s="290">
        <v>12</v>
      </c>
      <c r="D1553" s="296"/>
      <c r="E1553" s="295"/>
      <c r="F1553" s="295"/>
      <c r="G1553" s="295"/>
      <c r="H1553" s="296"/>
      <c r="I1553" s="297"/>
      <c r="J1553" s="297"/>
    </row>
    <row r="1554" spans="1:36" s="18" customFormat="1" ht="24.75" customHeight="1">
      <c r="A1554" s="285" t="s">
        <v>27</v>
      </c>
      <c r="B1554" s="290">
        <v>8</v>
      </c>
      <c r="C1554" s="290">
        <v>8</v>
      </c>
      <c r="D1554" s="296"/>
      <c r="E1554" s="295"/>
      <c r="F1554" s="295"/>
      <c r="G1554" s="295"/>
      <c r="H1554" s="296"/>
      <c r="I1554" s="297"/>
      <c r="J1554" s="297"/>
      <c r="K1554" s="64"/>
      <c r="L1554" s="29"/>
      <c r="M1554" s="82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4"/>
      <c r="AD1554" s="24"/>
      <c r="AE1554" s="24"/>
      <c r="AF1554" s="24"/>
      <c r="AG1554" s="24"/>
      <c r="AH1554" s="24"/>
      <c r="AI1554" s="24"/>
      <c r="AJ1554" s="24"/>
    </row>
    <row r="1555" spans="1:36" s="18" customFormat="1" ht="24.75" customHeight="1">
      <c r="A1555" s="285" t="s">
        <v>12</v>
      </c>
      <c r="B1555" s="287">
        <v>1.5</v>
      </c>
      <c r="C1555" s="287">
        <v>1.5</v>
      </c>
      <c r="D1555" s="296"/>
      <c r="E1555" s="295"/>
      <c r="F1555" s="295"/>
      <c r="G1555" s="295"/>
      <c r="H1555" s="296"/>
      <c r="I1555" s="297"/>
      <c r="J1555" s="297"/>
      <c r="K1555" s="64"/>
      <c r="L1555" s="29"/>
      <c r="M1555" s="82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/>
      <c r="AI1555" s="24"/>
      <c r="AJ1555" s="24"/>
    </row>
    <row r="1556" spans="1:36" s="18" customFormat="1" ht="24.75" customHeight="1">
      <c r="A1556" s="298" t="s">
        <v>265</v>
      </c>
      <c r="B1556" s="287">
        <v>1.5</v>
      </c>
      <c r="C1556" s="287">
        <v>1.5</v>
      </c>
      <c r="D1556" s="295"/>
      <c r="E1556" s="295"/>
      <c r="F1556" s="295"/>
      <c r="G1556" s="295"/>
      <c r="H1556" s="296"/>
      <c r="I1556" s="297"/>
      <c r="J1556" s="297"/>
      <c r="K1556" s="64"/>
      <c r="L1556" s="29"/>
      <c r="M1556" s="82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24"/>
      <c r="AE1556" s="24"/>
      <c r="AF1556" s="24"/>
      <c r="AG1556" s="24"/>
      <c r="AH1556" s="24"/>
      <c r="AI1556" s="24"/>
      <c r="AJ1556" s="24"/>
    </row>
    <row r="1557" spans="1:36" s="18" customFormat="1" ht="24.75" customHeight="1">
      <c r="A1557" s="269" t="s">
        <v>93</v>
      </c>
      <c r="B1557" s="286">
        <v>5</v>
      </c>
      <c r="C1557" s="286">
        <v>5</v>
      </c>
      <c r="D1557" s="270"/>
      <c r="E1557" s="271"/>
      <c r="F1557" s="271"/>
      <c r="G1557" s="271"/>
      <c r="H1557" s="272"/>
      <c r="I1557" s="273"/>
      <c r="J1557" s="297"/>
      <c r="K1557" s="64"/>
      <c r="L1557" s="29"/>
      <c r="M1557" s="82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  <c r="AJ1557" s="24"/>
    </row>
    <row r="1558" spans="1:10" ht="24.75" customHeight="1">
      <c r="A1558" s="285" t="s">
        <v>68</v>
      </c>
      <c r="B1558" s="290">
        <f>C1558*1.35</f>
        <v>4.050000000000001</v>
      </c>
      <c r="C1558" s="286">
        <v>3</v>
      </c>
      <c r="D1558" s="270"/>
      <c r="E1558" s="271"/>
      <c r="F1558" s="271"/>
      <c r="G1558" s="271"/>
      <c r="H1558" s="272"/>
      <c r="I1558" s="273"/>
      <c r="J1558" s="297"/>
    </row>
    <row r="1559" spans="1:10" ht="24.75" customHeight="1">
      <c r="A1559" s="262" t="s">
        <v>475</v>
      </c>
      <c r="B1559" s="270"/>
      <c r="C1559" s="270"/>
      <c r="D1559" s="113">
        <v>300</v>
      </c>
      <c r="E1559" s="201">
        <v>9.8</v>
      </c>
      <c r="F1559" s="201">
        <v>10.8</v>
      </c>
      <c r="G1559" s="201">
        <v>35.4</v>
      </c>
      <c r="H1559" s="202">
        <f>E1559*4+F1559*9+G1559*4</f>
        <v>278</v>
      </c>
      <c r="I1559" s="263">
        <v>6</v>
      </c>
      <c r="J1559" s="297"/>
    </row>
    <row r="1560" spans="1:36" s="18" customFormat="1" ht="35.25" customHeight="1">
      <c r="A1560" s="302" t="s">
        <v>67</v>
      </c>
      <c r="B1560" s="435">
        <f>C1560*1.18</f>
        <v>93.22</v>
      </c>
      <c r="C1560" s="167">
        <v>79</v>
      </c>
      <c r="D1560" s="270"/>
      <c r="E1560" s="271"/>
      <c r="F1560" s="271"/>
      <c r="G1560" s="271"/>
      <c r="H1560" s="271"/>
      <c r="I1560" s="273"/>
      <c r="J1560" s="297"/>
      <c r="K1560" s="64"/>
      <c r="L1560" s="29"/>
      <c r="M1560" s="82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24"/>
      <c r="AC1560" s="24"/>
      <c r="AD1560" s="24"/>
      <c r="AE1560" s="24"/>
      <c r="AF1560" s="24"/>
      <c r="AG1560" s="24"/>
      <c r="AH1560" s="24"/>
      <c r="AI1560" s="24"/>
      <c r="AJ1560" s="24"/>
    </row>
    <row r="1561" spans="1:36" s="18" customFormat="1" ht="24.75" customHeight="1">
      <c r="A1561" s="302" t="s">
        <v>71</v>
      </c>
      <c r="B1561" s="300">
        <f>C1561*1.36</f>
        <v>107.44000000000001</v>
      </c>
      <c r="C1561" s="167">
        <v>79</v>
      </c>
      <c r="D1561" s="270"/>
      <c r="E1561" s="271"/>
      <c r="F1561" s="271"/>
      <c r="G1561" s="271"/>
      <c r="H1561" s="272"/>
      <c r="I1561" s="273"/>
      <c r="J1561" s="273"/>
      <c r="K1561" s="64"/>
      <c r="L1561" s="29"/>
      <c r="M1561" s="82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24"/>
      <c r="AG1561" s="24"/>
      <c r="AH1561" s="24"/>
      <c r="AI1561" s="24"/>
      <c r="AJ1561" s="24"/>
    </row>
    <row r="1562" spans="1:10" ht="24.75" customHeight="1">
      <c r="A1562" s="269" t="s">
        <v>20</v>
      </c>
      <c r="B1562" s="270">
        <v>3</v>
      </c>
      <c r="C1562" s="270">
        <v>3</v>
      </c>
      <c r="D1562" s="270"/>
      <c r="E1562" s="271"/>
      <c r="F1562" s="271"/>
      <c r="G1562" s="271"/>
      <c r="H1562" s="272"/>
      <c r="I1562" s="273"/>
      <c r="J1562" s="273"/>
    </row>
    <row r="1563" spans="1:10" ht="24.75" customHeight="1">
      <c r="A1563" s="285" t="s">
        <v>21</v>
      </c>
      <c r="B1563" s="290">
        <f>C1563*1.33</f>
        <v>219.45000000000002</v>
      </c>
      <c r="C1563" s="270">
        <v>165</v>
      </c>
      <c r="D1563" s="281"/>
      <c r="E1563" s="283"/>
      <c r="F1563" s="283"/>
      <c r="G1563" s="283"/>
      <c r="H1563" s="281"/>
      <c r="I1563" s="284"/>
      <c r="J1563" s="192" t="s">
        <v>334</v>
      </c>
    </row>
    <row r="1564" spans="1:10" ht="24.75" customHeight="1">
      <c r="A1564" s="285" t="s">
        <v>22</v>
      </c>
      <c r="B1564" s="290">
        <f>C1564*1.43</f>
        <v>235.95</v>
      </c>
      <c r="C1564" s="270">
        <v>165</v>
      </c>
      <c r="D1564" s="272"/>
      <c r="E1564" s="271"/>
      <c r="F1564" s="271"/>
      <c r="G1564" s="271"/>
      <c r="H1564" s="272"/>
      <c r="I1564" s="273"/>
      <c r="J1564" s="273"/>
    </row>
    <row r="1565" spans="1:36" s="18" customFormat="1" ht="24.75" customHeight="1">
      <c r="A1565" s="285" t="s">
        <v>23</v>
      </c>
      <c r="B1565" s="290">
        <f>C1565*1.54</f>
        <v>254.1</v>
      </c>
      <c r="C1565" s="270">
        <v>165</v>
      </c>
      <c r="D1565" s="272"/>
      <c r="E1565" s="271"/>
      <c r="F1565" s="271"/>
      <c r="G1565" s="271"/>
      <c r="H1565" s="272"/>
      <c r="I1565" s="273"/>
      <c r="J1565" s="273"/>
      <c r="K1565" s="64"/>
      <c r="L1565" s="29"/>
      <c r="M1565" s="82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/>
      <c r="AI1565" s="24"/>
      <c r="AJ1565" s="24"/>
    </row>
    <row r="1566" spans="1:36" s="18" customFormat="1" ht="24.75" customHeight="1">
      <c r="A1566" s="285" t="s">
        <v>24</v>
      </c>
      <c r="B1566" s="290">
        <f>C1566*1.67</f>
        <v>275.55</v>
      </c>
      <c r="C1566" s="270">
        <v>165</v>
      </c>
      <c r="D1566" s="272"/>
      <c r="E1566" s="271"/>
      <c r="F1566" s="271"/>
      <c r="G1566" s="271"/>
      <c r="H1566" s="272"/>
      <c r="I1566" s="273"/>
      <c r="J1566" s="273"/>
      <c r="K1566" s="64"/>
      <c r="L1566" s="29"/>
      <c r="M1566" s="82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  <c r="AF1566" s="24"/>
      <c r="AG1566" s="24"/>
      <c r="AH1566" s="24"/>
      <c r="AI1566" s="24"/>
      <c r="AJ1566" s="24"/>
    </row>
    <row r="1567" spans="1:10" ht="24.75" customHeight="1">
      <c r="A1567" s="285" t="s">
        <v>25</v>
      </c>
      <c r="B1567" s="290">
        <f>C1567*1.25</f>
        <v>31.25</v>
      </c>
      <c r="C1567" s="286">
        <v>25</v>
      </c>
      <c r="D1567" s="272"/>
      <c r="E1567" s="287"/>
      <c r="F1567" s="287"/>
      <c r="G1567" s="287"/>
      <c r="H1567" s="290"/>
      <c r="I1567" s="288"/>
      <c r="J1567" s="284"/>
    </row>
    <row r="1568" spans="1:10" ht="24.75" customHeight="1">
      <c r="A1568" s="285" t="s">
        <v>19</v>
      </c>
      <c r="B1568" s="290">
        <f>C1568*1.33</f>
        <v>33.25</v>
      </c>
      <c r="C1568" s="286">
        <v>25</v>
      </c>
      <c r="D1568" s="272"/>
      <c r="E1568" s="287"/>
      <c r="F1568" s="287"/>
      <c r="G1568" s="287"/>
      <c r="H1568" s="290"/>
      <c r="I1568" s="288"/>
      <c r="J1568" s="273"/>
    </row>
    <row r="1569" spans="1:10" ht="24.75" customHeight="1">
      <c r="A1569" s="264" t="s">
        <v>120</v>
      </c>
      <c r="B1569" s="167">
        <f>C1569*1.02</f>
        <v>25.5</v>
      </c>
      <c r="C1569" s="265">
        <v>25</v>
      </c>
      <c r="D1569" s="227"/>
      <c r="E1569" s="201"/>
      <c r="F1569" s="201"/>
      <c r="G1569" s="201"/>
      <c r="H1569" s="202"/>
      <c r="I1569" s="263"/>
      <c r="J1569" s="273"/>
    </row>
    <row r="1570" spans="1:10" ht="24.75" customHeight="1">
      <c r="A1570" s="280" t="s">
        <v>215</v>
      </c>
      <c r="B1570" s="305">
        <f>C1570*1.18</f>
        <v>29.5</v>
      </c>
      <c r="C1570" s="265">
        <v>25</v>
      </c>
      <c r="D1570" s="227"/>
      <c r="E1570" s="201"/>
      <c r="F1570" s="201"/>
      <c r="G1570" s="201"/>
      <c r="H1570" s="202"/>
      <c r="I1570" s="263"/>
      <c r="J1570" s="273"/>
    </row>
    <row r="1571" spans="1:36" s="18" customFormat="1" ht="24.75" customHeight="1">
      <c r="A1571" s="285" t="s">
        <v>26</v>
      </c>
      <c r="B1571" s="290">
        <f>C1571*1.19</f>
        <v>23.799999999999997</v>
      </c>
      <c r="C1571" s="270">
        <v>20</v>
      </c>
      <c r="D1571" s="272"/>
      <c r="E1571" s="271"/>
      <c r="F1571" s="271"/>
      <c r="G1571" s="271"/>
      <c r="H1571" s="272"/>
      <c r="I1571" s="273"/>
      <c r="J1571" s="288"/>
      <c r="K1571" s="64"/>
      <c r="L1571" s="29"/>
      <c r="M1571" s="82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  <c r="Y1571" s="24"/>
      <c r="Z1571" s="24"/>
      <c r="AA1571" s="24"/>
      <c r="AB1571" s="24"/>
      <c r="AC1571" s="24"/>
      <c r="AD1571" s="24"/>
      <c r="AE1571" s="24"/>
      <c r="AF1571" s="24"/>
      <c r="AG1571" s="24"/>
      <c r="AH1571" s="24"/>
      <c r="AI1571" s="24"/>
      <c r="AJ1571" s="24"/>
    </row>
    <row r="1572" spans="1:36" s="18" customFormat="1" ht="24.75" customHeight="1">
      <c r="A1572" s="285" t="s">
        <v>27</v>
      </c>
      <c r="B1572" s="272">
        <v>8</v>
      </c>
      <c r="C1572" s="270">
        <v>8</v>
      </c>
      <c r="D1572" s="272"/>
      <c r="E1572" s="271"/>
      <c r="F1572" s="271"/>
      <c r="G1572" s="271"/>
      <c r="H1572" s="272"/>
      <c r="I1572" s="273"/>
      <c r="J1572" s="288"/>
      <c r="K1572" s="64"/>
      <c r="L1572" s="29"/>
      <c r="M1572" s="82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24"/>
      <c r="AG1572" s="24"/>
      <c r="AH1572" s="24"/>
      <c r="AI1572" s="24"/>
      <c r="AJ1572" s="24"/>
    </row>
    <row r="1573" spans="1:36" s="18" customFormat="1" ht="24.75" customHeight="1">
      <c r="A1573" s="496" t="s">
        <v>161</v>
      </c>
      <c r="B1573" s="496"/>
      <c r="C1573" s="496"/>
      <c r="D1573" s="374">
        <v>200</v>
      </c>
      <c r="E1573" s="261">
        <v>0.4</v>
      </c>
      <c r="F1573" s="261">
        <v>0</v>
      </c>
      <c r="G1573" s="261">
        <v>24.5</v>
      </c>
      <c r="H1573" s="75">
        <f>E1573*4+F1573*9+G1573*4</f>
        <v>99.6</v>
      </c>
      <c r="I1573" s="192">
        <v>0</v>
      </c>
      <c r="J1573" s="263"/>
      <c r="K1573" s="64"/>
      <c r="L1573" s="29"/>
      <c r="M1573" s="82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24"/>
      <c r="AG1573" s="24"/>
      <c r="AH1573" s="24"/>
      <c r="AI1573" s="24"/>
      <c r="AJ1573" s="24"/>
    </row>
    <row r="1574" spans="1:10" ht="24.75" customHeight="1">
      <c r="A1574" s="291" t="s">
        <v>65</v>
      </c>
      <c r="B1574" s="376">
        <v>25</v>
      </c>
      <c r="C1574" s="376">
        <v>25</v>
      </c>
      <c r="D1574" s="376"/>
      <c r="E1574" s="367"/>
      <c r="F1574" s="367"/>
      <c r="G1574" s="367"/>
      <c r="H1574" s="329"/>
      <c r="I1574" s="318"/>
      <c r="J1574" s="263"/>
    </row>
    <row r="1575" spans="1:10" ht="24.75" customHeight="1">
      <c r="A1575" s="269" t="s">
        <v>156</v>
      </c>
      <c r="B1575" s="286">
        <v>10</v>
      </c>
      <c r="C1575" s="286">
        <v>10</v>
      </c>
      <c r="D1575" s="286"/>
      <c r="E1575" s="287"/>
      <c r="F1575" s="287"/>
      <c r="G1575" s="287"/>
      <c r="H1575" s="287"/>
      <c r="I1575" s="288"/>
      <c r="J1575" s="273"/>
    </row>
    <row r="1576" spans="1:36" s="18" customFormat="1" ht="24.75" customHeight="1">
      <c r="A1576" s="501" t="s">
        <v>267</v>
      </c>
      <c r="B1576" s="501"/>
      <c r="C1576" s="501"/>
      <c r="D1576" s="113">
        <v>50</v>
      </c>
      <c r="E1576" s="36">
        <v>3.8</v>
      </c>
      <c r="F1576" s="36">
        <v>0.5</v>
      </c>
      <c r="G1576" s="36">
        <v>23.4</v>
      </c>
      <c r="H1576" s="75">
        <f>E1576*4+F1576*9+G1576*4</f>
        <v>113.3</v>
      </c>
      <c r="I1576" s="192">
        <v>0</v>
      </c>
      <c r="J1576" s="273"/>
      <c r="K1576" s="64"/>
      <c r="L1576" s="29"/>
      <c r="M1576" s="82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/>
      <c r="AG1576" s="24"/>
      <c r="AH1576" s="24"/>
      <c r="AI1576" s="24"/>
      <c r="AJ1576" s="24"/>
    </row>
    <row r="1577" spans="1:36" s="18" customFormat="1" ht="24.75" customHeight="1">
      <c r="A1577" s="506" t="s">
        <v>70</v>
      </c>
      <c r="B1577" s="506"/>
      <c r="C1577" s="506"/>
      <c r="D1577" s="227">
        <v>40</v>
      </c>
      <c r="E1577" s="201">
        <v>2.6</v>
      </c>
      <c r="F1577" s="201">
        <v>0.5</v>
      </c>
      <c r="G1577" s="201">
        <v>13.4</v>
      </c>
      <c r="H1577" s="202">
        <v>68</v>
      </c>
      <c r="I1577" s="263">
        <v>0</v>
      </c>
      <c r="J1577" s="192" t="s">
        <v>370</v>
      </c>
      <c r="K1577" s="64"/>
      <c r="L1577" s="29"/>
      <c r="M1577" s="82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  <c r="Y1577" s="24"/>
      <c r="Z1577" s="24"/>
      <c r="AA1577" s="24"/>
      <c r="AB1577" s="24"/>
      <c r="AC1577" s="24"/>
      <c r="AD1577" s="24"/>
      <c r="AE1577" s="24"/>
      <c r="AF1577" s="24"/>
      <c r="AG1577" s="24"/>
      <c r="AH1577" s="24"/>
      <c r="AI1577" s="24"/>
      <c r="AJ1577" s="24"/>
    </row>
    <row r="1578" spans="1:36" s="18" customFormat="1" ht="24.75" customHeight="1">
      <c r="A1578" s="113" t="s">
        <v>59</v>
      </c>
      <c r="B1578" s="113"/>
      <c r="C1578" s="113"/>
      <c r="D1578" s="113"/>
      <c r="E1578" s="36">
        <f>E1579+E1581</f>
        <v>1.7000000000000002</v>
      </c>
      <c r="F1578" s="36">
        <f>F1579+F1581</f>
        <v>2.5</v>
      </c>
      <c r="G1578" s="36">
        <f>G1579+G1581</f>
        <v>64.8</v>
      </c>
      <c r="H1578" s="75">
        <f>H1579+H1581</f>
        <v>288.5</v>
      </c>
      <c r="I1578" s="192">
        <f>I1579+I1581</f>
        <v>19</v>
      </c>
      <c r="J1578" s="318"/>
      <c r="K1578" s="64"/>
      <c r="L1578" s="29"/>
      <c r="M1578" s="82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24"/>
      <c r="AG1578" s="24"/>
      <c r="AH1578" s="24"/>
      <c r="AI1578" s="24"/>
      <c r="AJ1578" s="24"/>
    </row>
    <row r="1579" spans="1:36" s="18" customFormat="1" ht="36.75" customHeight="1">
      <c r="A1579" s="511" t="s">
        <v>259</v>
      </c>
      <c r="B1579" s="511"/>
      <c r="C1579" s="511"/>
      <c r="D1579" s="113">
        <v>30</v>
      </c>
      <c r="E1579" s="36">
        <v>1.6</v>
      </c>
      <c r="F1579" s="36">
        <v>2.5</v>
      </c>
      <c r="G1579" s="36">
        <v>42.8</v>
      </c>
      <c r="H1579" s="75">
        <f>E1579*4+F1579*9+G1579*4</f>
        <v>200.1</v>
      </c>
      <c r="I1579" s="192">
        <v>0</v>
      </c>
      <c r="J1579" s="288"/>
      <c r="K1579" s="64"/>
      <c r="L1579" s="29"/>
      <c r="M1579" s="82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24"/>
      <c r="AG1579" s="24"/>
      <c r="AH1579" s="24"/>
      <c r="AI1579" s="24"/>
      <c r="AJ1579" s="24"/>
    </row>
    <row r="1580" spans="1:10" ht="36.75" customHeight="1">
      <c r="A1580" s="511" t="s">
        <v>396</v>
      </c>
      <c r="B1580" s="511"/>
      <c r="C1580" s="511"/>
      <c r="D1580" s="113"/>
      <c r="E1580" s="36"/>
      <c r="F1580" s="36"/>
      <c r="G1580" s="36"/>
      <c r="H1580" s="75"/>
      <c r="I1580" s="192"/>
      <c r="J1580" s="192"/>
    </row>
    <row r="1581" spans="1:10" ht="80.25" customHeight="1">
      <c r="A1581" s="483" t="s">
        <v>487</v>
      </c>
      <c r="B1581" s="483"/>
      <c r="C1581" s="483"/>
      <c r="D1581" s="227">
        <v>200</v>
      </c>
      <c r="E1581" s="201">
        <v>0.1</v>
      </c>
      <c r="F1581" s="201">
        <v>0</v>
      </c>
      <c r="G1581" s="201">
        <v>22</v>
      </c>
      <c r="H1581" s="202">
        <f>E1581*4+F1581*9+G1581*4</f>
        <v>88.4</v>
      </c>
      <c r="I1581" s="263">
        <v>19</v>
      </c>
      <c r="J1581" s="263"/>
    </row>
    <row r="1582" spans="1:36" s="18" customFormat="1" ht="24.75" customHeight="1">
      <c r="A1582" s="113" t="s">
        <v>30</v>
      </c>
      <c r="B1582" s="113"/>
      <c r="C1582" s="113"/>
      <c r="D1582" s="113"/>
      <c r="E1582" s="36">
        <f>E1583+E1592+E1601+E1604+E1605+E1606+E1608</f>
        <v>31.999999999999996</v>
      </c>
      <c r="F1582" s="36">
        <f>F1583+F1592+F1601+F1604+F1605+F1606+F1608</f>
        <v>32.6</v>
      </c>
      <c r="G1582" s="36">
        <f>G1583+G1592+G1601+G1604+G1605+G1606+G1608</f>
        <v>85.5</v>
      </c>
      <c r="H1582" s="36">
        <f>H1583+H1592+H1601+H1604+H1605+H1606+H1608</f>
        <v>763.4</v>
      </c>
      <c r="I1582" s="36">
        <f>I1583+I1592+I1601+I1604+I1605+I1606+I1608</f>
        <v>35.268</v>
      </c>
      <c r="J1582" s="36"/>
      <c r="K1582" s="64"/>
      <c r="L1582" s="29"/>
      <c r="M1582" s="82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24"/>
      <c r="AC1582" s="24"/>
      <c r="AD1582" s="24"/>
      <c r="AE1582" s="24"/>
      <c r="AF1582" s="24"/>
      <c r="AG1582" s="24"/>
      <c r="AH1582" s="24"/>
      <c r="AI1582" s="24"/>
      <c r="AJ1582" s="24"/>
    </row>
    <row r="1583" spans="1:36" s="18" customFormat="1" ht="36" customHeight="1">
      <c r="A1583" s="262" t="s">
        <v>458</v>
      </c>
      <c r="B1583" s="457"/>
      <c r="C1583" s="457"/>
      <c r="D1583" s="113">
        <v>100</v>
      </c>
      <c r="E1583" s="36">
        <v>9.9</v>
      </c>
      <c r="F1583" s="36">
        <v>11.3</v>
      </c>
      <c r="G1583" s="36">
        <v>7.8</v>
      </c>
      <c r="H1583" s="75">
        <f>E1583*4+F1583*9+G1583*4</f>
        <v>172.5</v>
      </c>
      <c r="I1583" s="192">
        <v>0.53</v>
      </c>
      <c r="J1583" s="192"/>
      <c r="K1583" s="64"/>
      <c r="L1583" s="29"/>
      <c r="M1583" s="82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24"/>
      <c r="AG1583" s="24"/>
      <c r="AH1583" s="24"/>
      <c r="AI1583" s="24"/>
      <c r="AJ1583" s="24"/>
    </row>
    <row r="1584" spans="1:10" ht="30.75" customHeight="1">
      <c r="A1584" s="299" t="s">
        <v>60</v>
      </c>
      <c r="B1584" s="301">
        <f>C1584*1.36</f>
        <v>114.24000000000001</v>
      </c>
      <c r="C1584" s="265">
        <v>84</v>
      </c>
      <c r="D1584" s="227"/>
      <c r="E1584" s="201"/>
      <c r="F1584" s="201"/>
      <c r="G1584" s="201"/>
      <c r="H1584" s="202"/>
      <c r="I1584" s="263"/>
      <c r="J1584" s="192"/>
    </row>
    <row r="1585" spans="1:36" s="18" customFormat="1" ht="32.25" customHeight="1">
      <c r="A1585" s="302" t="s">
        <v>72</v>
      </c>
      <c r="B1585" s="435">
        <f>C1585*1.18</f>
        <v>99.11999999999999</v>
      </c>
      <c r="C1585" s="265">
        <v>84</v>
      </c>
      <c r="D1585" s="227"/>
      <c r="E1585" s="201"/>
      <c r="F1585" s="201"/>
      <c r="G1585" s="201"/>
      <c r="H1585" s="75"/>
      <c r="I1585" s="192"/>
      <c r="J1585" s="292" t="s">
        <v>486</v>
      </c>
      <c r="K1585" s="64"/>
      <c r="L1585" s="29"/>
      <c r="M1585" s="82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/>
      <c r="AI1585" s="24"/>
      <c r="AJ1585" s="24"/>
    </row>
    <row r="1586" spans="1:36" s="18" customFormat="1" ht="24.75" customHeight="1">
      <c r="A1586" s="303" t="s">
        <v>400</v>
      </c>
      <c r="B1586" s="435">
        <f>C1585</f>
        <v>84</v>
      </c>
      <c r="C1586" s="265">
        <v>84</v>
      </c>
      <c r="D1586" s="227"/>
      <c r="E1586" s="201"/>
      <c r="F1586" s="201"/>
      <c r="G1586" s="201"/>
      <c r="H1586" s="75"/>
      <c r="I1586" s="192"/>
      <c r="J1586" s="36"/>
      <c r="K1586" s="64"/>
      <c r="L1586" s="29"/>
      <c r="M1586" s="82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24"/>
      <c r="AG1586" s="24"/>
      <c r="AH1586" s="24"/>
      <c r="AI1586" s="24"/>
      <c r="AJ1586" s="24"/>
    </row>
    <row r="1587" spans="1:10" ht="24.75" customHeight="1">
      <c r="A1587" s="269" t="s">
        <v>36</v>
      </c>
      <c r="B1587" s="270">
        <v>8</v>
      </c>
      <c r="C1587" s="270">
        <v>8</v>
      </c>
      <c r="D1587" s="227"/>
      <c r="E1587" s="36"/>
      <c r="F1587" s="36"/>
      <c r="G1587" s="36"/>
      <c r="H1587" s="75"/>
      <c r="I1587" s="192"/>
      <c r="J1587" s="192" t="s">
        <v>445</v>
      </c>
    </row>
    <row r="1588" spans="1:10" ht="24.75" customHeight="1">
      <c r="A1588" s="264" t="s">
        <v>29</v>
      </c>
      <c r="B1588" s="265">
        <v>5</v>
      </c>
      <c r="C1588" s="265">
        <v>5</v>
      </c>
      <c r="D1588" s="227"/>
      <c r="E1588" s="201"/>
      <c r="F1588" s="201"/>
      <c r="G1588" s="201"/>
      <c r="H1588" s="202"/>
      <c r="I1588" s="263"/>
      <c r="J1588" s="263"/>
    </row>
    <row r="1589" spans="1:10" ht="24.75" customHeight="1">
      <c r="A1589" s="327" t="s">
        <v>196</v>
      </c>
      <c r="B1589" s="265">
        <v>19</v>
      </c>
      <c r="C1589" s="265">
        <v>19</v>
      </c>
      <c r="D1589" s="227"/>
      <c r="E1589" s="201"/>
      <c r="F1589" s="201"/>
      <c r="G1589" s="201"/>
      <c r="H1589" s="202"/>
      <c r="I1589" s="263"/>
      <c r="J1589" s="192"/>
    </row>
    <row r="1590" spans="1:36" s="18" customFormat="1" ht="24.75" customHeight="1">
      <c r="A1590" s="285" t="s">
        <v>162</v>
      </c>
      <c r="B1590" s="265">
        <v>10</v>
      </c>
      <c r="C1590" s="265">
        <v>10</v>
      </c>
      <c r="D1590" s="227"/>
      <c r="E1590" s="201"/>
      <c r="F1590" s="201"/>
      <c r="G1590" s="201"/>
      <c r="H1590" s="202"/>
      <c r="I1590" s="263"/>
      <c r="J1590" s="192"/>
      <c r="K1590" s="64"/>
      <c r="L1590" s="29"/>
      <c r="M1590" s="82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/>
      <c r="Y1590" s="24"/>
      <c r="Z1590" s="24"/>
      <c r="AA1590" s="24"/>
      <c r="AB1590" s="24"/>
      <c r="AC1590" s="24"/>
      <c r="AD1590" s="24"/>
      <c r="AE1590" s="24"/>
      <c r="AF1590" s="24"/>
      <c r="AG1590" s="24"/>
      <c r="AH1590" s="24"/>
      <c r="AI1590" s="24"/>
      <c r="AJ1590" s="24"/>
    </row>
    <row r="1591" spans="1:10" ht="24.75" customHeight="1">
      <c r="A1591" s="269" t="s">
        <v>20</v>
      </c>
      <c r="B1591" s="270">
        <v>6</v>
      </c>
      <c r="C1591" s="270">
        <v>6</v>
      </c>
      <c r="D1591" s="75"/>
      <c r="E1591" s="36"/>
      <c r="F1591" s="36"/>
      <c r="G1591" s="36"/>
      <c r="H1591" s="75"/>
      <c r="I1591" s="192"/>
      <c r="J1591" s="192"/>
    </row>
    <row r="1592" spans="1:36" s="18" customFormat="1" ht="24.75" customHeight="1">
      <c r="A1592" s="506" t="s">
        <v>534</v>
      </c>
      <c r="B1592" s="506"/>
      <c r="C1592" s="506"/>
      <c r="D1592" s="227">
        <v>200</v>
      </c>
      <c r="E1592" s="201">
        <v>2.7</v>
      </c>
      <c r="F1592" s="201">
        <v>5.1</v>
      </c>
      <c r="G1592" s="201">
        <v>15.1</v>
      </c>
      <c r="H1592" s="202">
        <f>E1592*4+F1592*9+G1592*4</f>
        <v>117.1</v>
      </c>
      <c r="I1592" s="263">
        <v>33.36</v>
      </c>
      <c r="J1592" s="263"/>
      <c r="K1592" s="64"/>
      <c r="L1592" s="29"/>
      <c r="M1592" s="82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24"/>
      <c r="AG1592" s="24"/>
      <c r="AH1592" s="24"/>
      <c r="AI1592" s="24"/>
      <c r="AJ1592" s="24"/>
    </row>
    <row r="1593" spans="1:36" s="18" customFormat="1" ht="24.75" customHeight="1">
      <c r="A1593" s="264" t="s">
        <v>45</v>
      </c>
      <c r="B1593" s="167">
        <f>C1593*1.25</f>
        <v>288.75</v>
      </c>
      <c r="C1593" s="167">
        <v>231</v>
      </c>
      <c r="D1593" s="227"/>
      <c r="E1593" s="201"/>
      <c r="F1593" s="201"/>
      <c r="G1593" s="201"/>
      <c r="H1593" s="201"/>
      <c r="I1593" s="263"/>
      <c r="J1593" s="263"/>
      <c r="K1593" s="64"/>
      <c r="L1593" s="29"/>
      <c r="M1593" s="82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24"/>
      <c r="AC1593" s="24"/>
      <c r="AD1593" s="24"/>
      <c r="AE1593" s="24"/>
      <c r="AF1593" s="24"/>
      <c r="AG1593" s="24"/>
      <c r="AH1593" s="24"/>
      <c r="AI1593" s="24"/>
      <c r="AJ1593" s="24"/>
    </row>
    <row r="1594" spans="1:36" s="18" customFormat="1" ht="24.75" customHeight="1">
      <c r="A1594" s="264" t="s">
        <v>25</v>
      </c>
      <c r="B1594" s="167">
        <f>C1594*1.25</f>
        <v>5</v>
      </c>
      <c r="C1594" s="167">
        <v>4</v>
      </c>
      <c r="D1594" s="227"/>
      <c r="E1594" s="201"/>
      <c r="F1594" s="201"/>
      <c r="G1594" s="201"/>
      <c r="H1594" s="265"/>
      <c r="I1594" s="267"/>
      <c r="J1594" s="263"/>
      <c r="K1594" s="64"/>
      <c r="L1594" s="29"/>
      <c r="M1594" s="82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24"/>
      <c r="AG1594" s="24"/>
      <c r="AH1594" s="24"/>
      <c r="AI1594" s="24"/>
      <c r="AJ1594" s="24"/>
    </row>
    <row r="1595" spans="1:36" s="18" customFormat="1" ht="24.75" customHeight="1">
      <c r="A1595" s="264" t="s">
        <v>19</v>
      </c>
      <c r="B1595" s="167">
        <f>C1595*1.33</f>
        <v>5.32</v>
      </c>
      <c r="C1595" s="167">
        <v>4</v>
      </c>
      <c r="D1595" s="227"/>
      <c r="E1595" s="201"/>
      <c r="F1595" s="201"/>
      <c r="G1595" s="201"/>
      <c r="H1595" s="227"/>
      <c r="I1595" s="263"/>
      <c r="J1595" s="192"/>
      <c r="K1595" s="64"/>
      <c r="L1595" s="29"/>
      <c r="M1595" s="82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/>
      <c r="AI1595" s="24"/>
      <c r="AJ1595" s="24"/>
    </row>
    <row r="1596" spans="1:36" s="18" customFormat="1" ht="24.75" customHeight="1">
      <c r="A1596" s="264" t="s">
        <v>26</v>
      </c>
      <c r="B1596" s="167">
        <f>C1596*1.19</f>
        <v>10.709999999999999</v>
      </c>
      <c r="C1596" s="167">
        <v>9</v>
      </c>
      <c r="D1596" s="227"/>
      <c r="E1596" s="201"/>
      <c r="F1596" s="266"/>
      <c r="G1596" s="266"/>
      <c r="H1596" s="265"/>
      <c r="I1596" s="267"/>
      <c r="J1596" s="263"/>
      <c r="K1596" s="64"/>
      <c r="L1596" s="29"/>
      <c r="M1596" s="82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  <c r="AJ1596" s="24"/>
    </row>
    <row r="1597" spans="1:36" s="18" customFormat="1" ht="24.75" customHeight="1">
      <c r="A1597" s="264" t="s">
        <v>28</v>
      </c>
      <c r="B1597" s="167">
        <v>2</v>
      </c>
      <c r="C1597" s="167">
        <v>2</v>
      </c>
      <c r="D1597" s="227"/>
      <c r="E1597" s="201"/>
      <c r="F1597" s="266"/>
      <c r="G1597" s="266"/>
      <c r="H1597" s="265"/>
      <c r="I1597" s="267"/>
      <c r="J1597" s="263"/>
      <c r="K1597" s="64"/>
      <c r="L1597" s="29"/>
      <c r="M1597" s="82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24"/>
      <c r="AG1597" s="24"/>
      <c r="AH1597" s="24"/>
      <c r="AI1597" s="24"/>
      <c r="AJ1597" s="24"/>
    </row>
    <row r="1598" spans="1:36" s="18" customFormat="1" ht="24.75" customHeight="1">
      <c r="A1598" s="264" t="s">
        <v>20</v>
      </c>
      <c r="B1598" s="167">
        <v>5</v>
      </c>
      <c r="C1598" s="167">
        <v>5</v>
      </c>
      <c r="D1598" s="227"/>
      <c r="E1598" s="201"/>
      <c r="F1598" s="266"/>
      <c r="G1598" s="266"/>
      <c r="H1598" s="265"/>
      <c r="I1598" s="267"/>
      <c r="J1598" s="263"/>
      <c r="K1598" s="64"/>
      <c r="L1598" s="29"/>
      <c r="M1598" s="82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4"/>
      <c r="AD1598" s="24"/>
      <c r="AE1598" s="24"/>
      <c r="AF1598" s="24"/>
      <c r="AG1598" s="24"/>
      <c r="AH1598" s="24"/>
      <c r="AI1598" s="24"/>
      <c r="AJ1598" s="24"/>
    </row>
    <row r="1599" spans="1:36" s="18" customFormat="1" ht="24.75" customHeight="1">
      <c r="A1599" s="298" t="s">
        <v>294</v>
      </c>
      <c r="B1599" s="290">
        <v>5</v>
      </c>
      <c r="C1599" s="290">
        <v>5</v>
      </c>
      <c r="D1599" s="227"/>
      <c r="E1599" s="287"/>
      <c r="F1599" s="287"/>
      <c r="G1599" s="287"/>
      <c r="H1599" s="290"/>
      <c r="I1599" s="288"/>
      <c r="J1599" s="263"/>
      <c r="K1599" s="64"/>
      <c r="L1599" s="29"/>
      <c r="M1599" s="82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24"/>
      <c r="AG1599" s="24"/>
      <c r="AH1599" s="24"/>
      <c r="AI1599" s="24"/>
      <c r="AJ1599" s="24"/>
    </row>
    <row r="1600" spans="1:36" s="18" customFormat="1" ht="24.75" customHeight="1">
      <c r="A1600" s="264" t="s">
        <v>12</v>
      </c>
      <c r="B1600" s="167">
        <v>2</v>
      </c>
      <c r="C1600" s="167">
        <v>2</v>
      </c>
      <c r="D1600" s="227"/>
      <c r="E1600" s="201"/>
      <c r="F1600" s="266"/>
      <c r="G1600" s="266"/>
      <c r="H1600" s="265"/>
      <c r="I1600" s="267"/>
      <c r="J1600" s="263"/>
      <c r="K1600" s="64"/>
      <c r="L1600" s="29"/>
      <c r="M1600" s="82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24"/>
      <c r="AG1600" s="24"/>
      <c r="AH1600" s="24"/>
      <c r="AI1600" s="24"/>
      <c r="AJ1600" s="24"/>
    </row>
    <row r="1601" spans="1:36" s="18" customFormat="1" ht="24.75" customHeight="1">
      <c r="A1601" s="501" t="s">
        <v>37</v>
      </c>
      <c r="B1601" s="501"/>
      <c r="C1601" s="501"/>
      <c r="D1601" s="113">
        <v>200</v>
      </c>
      <c r="E1601" s="36">
        <v>0.2</v>
      </c>
      <c r="F1601" s="36">
        <v>0</v>
      </c>
      <c r="G1601" s="36">
        <v>10.9</v>
      </c>
      <c r="H1601" s="75">
        <f>E1601*4+F1601*9+G1601*4</f>
        <v>44.4</v>
      </c>
      <c r="I1601" s="192">
        <v>0</v>
      </c>
      <c r="J1601" s="263"/>
      <c r="K1601" s="64"/>
      <c r="L1601" s="29"/>
      <c r="M1601" s="82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  <c r="Y1601" s="24"/>
      <c r="Z1601" s="24"/>
      <c r="AA1601" s="24"/>
      <c r="AB1601" s="24"/>
      <c r="AC1601" s="24"/>
      <c r="AD1601" s="24"/>
      <c r="AE1601" s="24"/>
      <c r="AF1601" s="24"/>
      <c r="AG1601" s="24"/>
      <c r="AH1601" s="24"/>
      <c r="AI1601" s="24"/>
      <c r="AJ1601" s="24"/>
    </row>
    <row r="1602" spans="1:36" s="18" customFormat="1" ht="24.75" customHeight="1">
      <c r="A1602" s="269" t="s">
        <v>16</v>
      </c>
      <c r="B1602" s="270">
        <v>0.4</v>
      </c>
      <c r="C1602" s="270">
        <v>0.4</v>
      </c>
      <c r="D1602" s="270"/>
      <c r="E1602" s="271"/>
      <c r="F1602" s="271"/>
      <c r="G1602" s="271"/>
      <c r="H1602" s="272"/>
      <c r="I1602" s="273"/>
      <c r="J1602" s="263"/>
      <c r="K1602" s="64"/>
      <c r="L1602" s="29"/>
      <c r="M1602" s="82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24"/>
      <c r="AC1602" s="24"/>
      <c r="AD1602" s="24"/>
      <c r="AE1602" s="24"/>
      <c r="AF1602" s="24"/>
      <c r="AG1602" s="24"/>
      <c r="AH1602" s="24"/>
      <c r="AI1602" s="24"/>
      <c r="AJ1602" s="24"/>
    </row>
    <row r="1603" spans="1:36" s="18" customFormat="1" ht="24.75" customHeight="1">
      <c r="A1603" s="269" t="s">
        <v>156</v>
      </c>
      <c r="B1603" s="270">
        <v>12</v>
      </c>
      <c r="C1603" s="270">
        <v>12</v>
      </c>
      <c r="D1603" s="270"/>
      <c r="E1603" s="271"/>
      <c r="F1603" s="271"/>
      <c r="G1603" s="271"/>
      <c r="H1603" s="271"/>
      <c r="I1603" s="271"/>
      <c r="J1603" s="263"/>
      <c r="K1603" s="64"/>
      <c r="L1603" s="29"/>
      <c r="M1603" s="82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24"/>
      <c r="AG1603" s="24"/>
      <c r="AH1603" s="24"/>
      <c r="AI1603" s="24"/>
      <c r="AJ1603" s="24"/>
    </row>
    <row r="1604" spans="1:36" s="18" customFormat="1" ht="72.75" customHeight="1">
      <c r="A1604" s="483" t="s">
        <v>460</v>
      </c>
      <c r="B1604" s="483"/>
      <c r="C1604" s="483"/>
      <c r="D1604" s="227">
        <v>20</v>
      </c>
      <c r="E1604" s="201">
        <v>7.6</v>
      </c>
      <c r="F1604" s="201">
        <v>10.1</v>
      </c>
      <c r="G1604" s="201">
        <v>8</v>
      </c>
      <c r="H1604" s="202">
        <f>G1604*4+F1604*9+E1604*4</f>
        <v>153.29999999999998</v>
      </c>
      <c r="I1604" s="263">
        <v>0.008</v>
      </c>
      <c r="J1604" s="263"/>
      <c r="K1604" s="64"/>
      <c r="L1604" s="29"/>
      <c r="M1604" s="82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  <c r="Y1604" s="24"/>
      <c r="Z1604" s="24"/>
      <c r="AA1604" s="24"/>
      <c r="AB1604" s="24"/>
      <c r="AC1604" s="24"/>
      <c r="AD1604" s="24"/>
      <c r="AE1604" s="24"/>
      <c r="AF1604" s="24"/>
      <c r="AG1604" s="24"/>
      <c r="AH1604" s="24"/>
      <c r="AI1604" s="24"/>
      <c r="AJ1604" s="24"/>
    </row>
    <row r="1605" spans="1:36" s="18" customFormat="1" ht="24.75" customHeight="1">
      <c r="A1605" s="506" t="s">
        <v>70</v>
      </c>
      <c r="B1605" s="506"/>
      <c r="C1605" s="506"/>
      <c r="D1605" s="227">
        <v>50</v>
      </c>
      <c r="E1605" s="201">
        <v>3.3</v>
      </c>
      <c r="F1605" s="201">
        <v>0.6</v>
      </c>
      <c r="G1605" s="201">
        <v>16.7</v>
      </c>
      <c r="H1605" s="202">
        <f>E1605*4+F1605*9+G1605*4</f>
        <v>85.39999999999999</v>
      </c>
      <c r="I1605" s="263">
        <v>0</v>
      </c>
      <c r="J1605" s="192" t="s">
        <v>344</v>
      </c>
      <c r="K1605" s="64"/>
      <c r="L1605" s="29"/>
      <c r="M1605" s="82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/>
      <c r="AI1605" s="24"/>
      <c r="AJ1605" s="24"/>
    </row>
    <row r="1606" spans="1:10" ht="24.75" customHeight="1">
      <c r="A1606" s="501" t="s">
        <v>267</v>
      </c>
      <c r="B1606" s="501"/>
      <c r="C1606" s="501"/>
      <c r="D1606" s="113">
        <v>50</v>
      </c>
      <c r="E1606" s="36">
        <v>4.1</v>
      </c>
      <c r="F1606" s="36">
        <v>0.7</v>
      </c>
      <c r="G1606" s="36">
        <v>19</v>
      </c>
      <c r="H1606" s="75">
        <f>E1606*4+F1606*9+G1606*4</f>
        <v>98.7</v>
      </c>
      <c r="I1606" s="192">
        <v>0</v>
      </c>
      <c r="J1606" s="273"/>
    </row>
    <row r="1607" spans="1:36" s="18" customFormat="1" ht="24.75" customHeight="1">
      <c r="A1607" s="426" t="s">
        <v>220</v>
      </c>
      <c r="B1607" s="427"/>
      <c r="C1607" s="427"/>
      <c r="D1607" s="427"/>
      <c r="E1607" s="427"/>
      <c r="F1607" s="427"/>
      <c r="G1607" s="427"/>
      <c r="H1607" s="427"/>
      <c r="I1607" s="427"/>
      <c r="J1607" s="271"/>
      <c r="K1607" s="64"/>
      <c r="L1607" s="29"/>
      <c r="M1607" s="82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  <c r="Y1607" s="24"/>
      <c r="Z1607" s="24"/>
      <c r="AA1607" s="24"/>
      <c r="AB1607" s="24"/>
      <c r="AC1607" s="24"/>
      <c r="AD1607" s="24"/>
      <c r="AE1607" s="24"/>
      <c r="AF1607" s="24"/>
      <c r="AG1607" s="24"/>
      <c r="AH1607" s="24"/>
      <c r="AI1607" s="24"/>
      <c r="AJ1607" s="24"/>
    </row>
    <row r="1608" spans="1:10" ht="39" customHeight="1">
      <c r="A1608" s="332" t="s">
        <v>246</v>
      </c>
      <c r="B1608" s="265">
        <v>206</v>
      </c>
      <c r="C1608" s="281">
        <v>200</v>
      </c>
      <c r="D1608" s="227">
        <v>200</v>
      </c>
      <c r="E1608" s="201">
        <v>4.2</v>
      </c>
      <c r="F1608" s="201">
        <v>4.8</v>
      </c>
      <c r="G1608" s="201">
        <v>8</v>
      </c>
      <c r="H1608" s="202">
        <f>E1608*4+F1608*9+G1608*4</f>
        <v>92</v>
      </c>
      <c r="I1608" s="263">
        <v>1.37</v>
      </c>
      <c r="J1608" s="271"/>
    </row>
    <row r="1609" spans="1:36" s="18" customFormat="1" ht="24.75" customHeight="1">
      <c r="A1609" s="333" t="s">
        <v>140</v>
      </c>
      <c r="B1609" s="333"/>
      <c r="C1609" s="333"/>
      <c r="D1609" s="333"/>
      <c r="E1609" s="348">
        <f>E1607+E1582+E1578+E1533+E1511+E1531</f>
        <v>80.05000000000001</v>
      </c>
      <c r="F1609" s="348">
        <f>F1607+F1582+F1578+F1533+F1511+F1531</f>
        <v>89.30000000000001</v>
      </c>
      <c r="G1609" s="334">
        <f>G1607+G1582+G1578+G1533+G1511+G1531</f>
        <v>353.6</v>
      </c>
      <c r="H1609" s="352">
        <f>H1607+H1582+H1578+H1533+H1511+H1531</f>
        <v>2537.8</v>
      </c>
      <c r="I1609" s="386">
        <f>I1607+I1582+I1578+I1533+I1511+I1531</f>
        <v>84.148</v>
      </c>
      <c r="J1609" s="263"/>
      <c r="K1609" s="64"/>
      <c r="L1609" s="29"/>
      <c r="M1609" s="82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4"/>
      <c r="AD1609" s="24"/>
      <c r="AE1609" s="24"/>
      <c r="AF1609" s="24"/>
      <c r="AG1609" s="24"/>
      <c r="AH1609" s="24"/>
      <c r="AI1609" s="24"/>
      <c r="AJ1609" s="24"/>
    </row>
    <row r="1610" spans="1:36" s="18" customFormat="1" ht="24.75" customHeight="1">
      <c r="A1610" s="254" t="s">
        <v>512</v>
      </c>
      <c r="B1610" s="254"/>
      <c r="C1610" s="254"/>
      <c r="D1610" s="254"/>
      <c r="E1610" s="336">
        <f>(E1609++E1505+E1359+E1256+E1135+E1038+E954+E844+E746+E654+E524+E381+E289+E127)/14</f>
        <v>76.96268218164458</v>
      </c>
      <c r="F1610" s="336">
        <f>(F1609++F1505+F1359+F1256+F1135+F1038+F954+F844+F746+F654+F524+F381+F289+F127)/14</f>
        <v>82.35701465201464</v>
      </c>
      <c r="G1610" s="201">
        <f>(G1609++G1505+G1359+G1256+G1135+G1038+G954+G844+G746+G654+G524+G381+G289+G127)/14</f>
        <v>368.2689560439561</v>
      </c>
      <c r="H1610" s="337">
        <f>(H1609++H1505+H1359+H1256+H1135+H1038+H954+H844+H746+H654+H524+H381+H289+H127)/14</f>
        <v>2579.7089704848195</v>
      </c>
      <c r="I1610" s="410"/>
      <c r="J1610" s="192"/>
      <c r="K1610" s="64"/>
      <c r="L1610" s="29"/>
      <c r="M1610" s="82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  <c r="Y1610" s="24"/>
      <c r="Z1610" s="24"/>
      <c r="AA1610" s="24"/>
      <c r="AB1610" s="24"/>
      <c r="AC1610" s="24"/>
      <c r="AD1610" s="24"/>
      <c r="AE1610" s="24"/>
      <c r="AF1610" s="24"/>
      <c r="AG1610" s="24"/>
      <c r="AH1610" s="24"/>
      <c r="AI1610" s="24"/>
      <c r="AJ1610" s="24"/>
    </row>
    <row r="1611" spans="1:36" s="18" customFormat="1" ht="24.75" customHeight="1">
      <c r="A1611" s="256" t="s">
        <v>522</v>
      </c>
      <c r="B1611" s="256"/>
      <c r="C1611" s="256"/>
      <c r="D1611" s="256"/>
      <c r="E1611" s="252">
        <v>76.5</v>
      </c>
      <c r="F1611" s="225">
        <v>85</v>
      </c>
      <c r="G1611" s="252">
        <v>370.2</v>
      </c>
      <c r="H1611" s="224">
        <v>2550</v>
      </c>
      <c r="I1611" s="251"/>
      <c r="J1611" s="428"/>
      <c r="K1611" s="64"/>
      <c r="L1611" s="29"/>
      <c r="M1611" s="82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24"/>
      <c r="AG1611" s="24"/>
      <c r="AH1611" s="24"/>
      <c r="AI1611" s="24"/>
      <c r="AJ1611" s="24"/>
    </row>
    <row r="1612" spans="1:36" s="18" customFormat="1" ht="71.25" customHeight="1">
      <c r="A1612" s="541" t="s">
        <v>523</v>
      </c>
      <c r="B1612" s="542"/>
      <c r="C1612" s="542"/>
      <c r="D1612" s="542"/>
      <c r="E1612" s="542"/>
      <c r="F1612" s="542"/>
      <c r="G1612" s="542"/>
      <c r="H1612" s="542"/>
      <c r="I1612" s="543"/>
      <c r="J1612" s="263" t="s">
        <v>364</v>
      </c>
      <c r="K1612" s="64"/>
      <c r="L1612" s="29"/>
      <c r="M1612" s="82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  <c r="Y1612" s="24"/>
      <c r="Z1612" s="24"/>
      <c r="AA1612" s="24"/>
      <c r="AB1612" s="24"/>
      <c r="AC1612" s="24"/>
      <c r="AD1612" s="24"/>
      <c r="AE1612" s="24"/>
      <c r="AF1612" s="24"/>
      <c r="AG1612" s="24"/>
      <c r="AH1612" s="24"/>
      <c r="AI1612" s="24"/>
      <c r="AJ1612" s="24"/>
    </row>
    <row r="1613" spans="1:36" s="18" customFormat="1" ht="24.75" customHeight="1">
      <c r="A1613" s="463"/>
      <c r="B1613" s="464"/>
      <c r="C1613" s="464"/>
      <c r="D1613" s="464"/>
      <c r="E1613" s="465"/>
      <c r="F1613" s="465"/>
      <c r="G1613" s="465"/>
      <c r="H1613" s="466"/>
      <c r="I1613" s="467"/>
      <c r="J1613" s="334"/>
      <c r="K1613" s="64"/>
      <c r="L1613" s="29"/>
      <c r="M1613" s="82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/>
      <c r="AF1613" s="24"/>
      <c r="AG1613" s="24"/>
      <c r="AH1613" s="24"/>
      <c r="AI1613" s="24"/>
      <c r="AJ1613" s="24"/>
    </row>
    <row r="1614" spans="1:36" s="18" customFormat="1" ht="24.75" customHeight="1">
      <c r="A1614" s="463"/>
      <c r="B1614" s="464"/>
      <c r="C1614" s="464"/>
      <c r="D1614" s="464"/>
      <c r="E1614" s="465"/>
      <c r="F1614" s="465"/>
      <c r="G1614" s="465"/>
      <c r="H1614" s="466"/>
      <c r="I1614" s="467"/>
      <c r="J1614" s="341"/>
      <c r="K1614" s="64"/>
      <c r="L1614" s="29"/>
      <c r="M1614" s="82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4"/>
      <c r="AD1614" s="24"/>
      <c r="AE1614" s="24"/>
      <c r="AF1614" s="24"/>
      <c r="AG1614" s="24"/>
      <c r="AH1614" s="24"/>
      <c r="AI1614" s="24"/>
      <c r="AJ1614" s="24"/>
    </row>
    <row r="1615" spans="1:36" s="18" customFormat="1" ht="32.25" customHeight="1">
      <c r="A1615" s="463"/>
      <c r="B1615" s="464"/>
      <c r="C1615" s="464"/>
      <c r="D1615" s="464"/>
      <c r="E1615" s="465"/>
      <c r="F1615" s="465"/>
      <c r="G1615" s="465"/>
      <c r="H1615" s="466"/>
      <c r="I1615" s="467"/>
      <c r="J1615" s="226"/>
      <c r="K1615" s="64"/>
      <c r="L1615" s="29"/>
      <c r="M1615" s="82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24"/>
      <c r="AG1615" s="24"/>
      <c r="AH1615" s="24"/>
      <c r="AI1615" s="24"/>
      <c r="AJ1615" s="24"/>
    </row>
    <row r="1616" spans="1:36" s="18" customFormat="1" ht="36" customHeight="1">
      <c r="A1616" s="463"/>
      <c r="B1616" s="464"/>
      <c r="C1616" s="464"/>
      <c r="D1616" s="464"/>
      <c r="E1616" s="465"/>
      <c r="F1616" s="465"/>
      <c r="G1616" s="465"/>
      <c r="H1616" s="466"/>
      <c r="I1616" s="467"/>
      <c r="J1616" s="462"/>
      <c r="K1616" s="64"/>
      <c r="L1616" s="29"/>
      <c r="M1616" s="82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4"/>
      <c r="AD1616" s="24"/>
      <c r="AE1616" s="24"/>
      <c r="AF1616" s="24"/>
      <c r="AG1616" s="24"/>
      <c r="AH1616" s="24"/>
      <c r="AI1616" s="24"/>
      <c r="AJ1616" s="24"/>
    </row>
    <row r="1617" spans="1:36" s="18" customFormat="1" ht="35.25" customHeight="1">
      <c r="A1617" s="506"/>
      <c r="B1617" s="506"/>
      <c r="C1617" s="506"/>
      <c r="D1617" s="227"/>
      <c r="E1617" s="201"/>
      <c r="F1617" s="201"/>
      <c r="G1617" s="201"/>
      <c r="H1617" s="202"/>
      <c r="I1617" s="263"/>
      <c r="J1617" s="467"/>
      <c r="K1617" s="64"/>
      <c r="L1617" s="29"/>
      <c r="M1617" s="82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24"/>
      <c r="AC1617" s="24"/>
      <c r="AD1617" s="24"/>
      <c r="AE1617" s="24"/>
      <c r="AF1617" s="24"/>
      <c r="AG1617" s="24"/>
      <c r="AH1617" s="24"/>
      <c r="AI1617" s="24"/>
      <c r="AJ1617" s="24"/>
    </row>
    <row r="1618" spans="1:36" s="18" customFormat="1" ht="19.5" customHeight="1">
      <c r="A1618" s="264"/>
      <c r="B1618" s="167"/>
      <c r="C1618" s="167"/>
      <c r="D1618" s="227"/>
      <c r="E1618" s="201"/>
      <c r="F1618" s="201"/>
      <c r="G1618" s="201"/>
      <c r="H1618" s="201"/>
      <c r="I1618" s="263"/>
      <c r="J1618" s="467"/>
      <c r="K1618" s="64"/>
      <c r="L1618" s="29"/>
      <c r="M1618" s="82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24"/>
      <c r="Y1618" s="24"/>
      <c r="Z1618" s="24"/>
      <c r="AA1618" s="24"/>
      <c r="AB1618" s="24"/>
      <c r="AC1618" s="24"/>
      <c r="AD1618" s="24"/>
      <c r="AE1618" s="24"/>
      <c r="AF1618" s="24"/>
      <c r="AG1618" s="24"/>
      <c r="AH1618" s="24"/>
      <c r="AI1618" s="24"/>
      <c r="AJ1618" s="24"/>
    </row>
    <row r="1619" spans="1:36" s="18" customFormat="1" ht="23.25" customHeight="1">
      <c r="A1619" s="264"/>
      <c r="B1619" s="167"/>
      <c r="C1619" s="167"/>
      <c r="D1619" s="227"/>
      <c r="E1619" s="201"/>
      <c r="F1619" s="201"/>
      <c r="G1619" s="201"/>
      <c r="H1619" s="265"/>
      <c r="I1619" s="267"/>
      <c r="J1619" s="467"/>
      <c r="K1619" s="64"/>
      <c r="L1619" s="29"/>
      <c r="M1619" s="82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24"/>
      <c r="AG1619" s="24"/>
      <c r="AH1619" s="24"/>
      <c r="AI1619" s="24"/>
      <c r="AJ1619" s="24"/>
    </row>
    <row r="1620" spans="1:36" s="18" customFormat="1" ht="45.75" customHeight="1">
      <c r="A1620" s="264"/>
      <c r="B1620" s="167"/>
      <c r="C1620" s="167"/>
      <c r="D1620" s="227"/>
      <c r="E1620" s="201"/>
      <c r="F1620" s="201"/>
      <c r="G1620" s="201"/>
      <c r="H1620" s="227"/>
      <c r="I1620" s="263"/>
      <c r="J1620" s="467"/>
      <c r="K1620" s="64"/>
      <c r="L1620" s="29"/>
      <c r="M1620" s="82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4"/>
      <c r="AD1620" s="24"/>
      <c r="AE1620" s="24"/>
      <c r="AF1620" s="24"/>
      <c r="AG1620" s="24"/>
      <c r="AH1620" s="24"/>
      <c r="AI1620" s="24"/>
      <c r="AJ1620" s="24"/>
    </row>
    <row r="1621" spans="1:36" s="18" customFormat="1" ht="55.5" customHeight="1">
      <c r="A1621" s="264"/>
      <c r="B1621" s="167"/>
      <c r="C1621" s="167"/>
      <c r="D1621" s="227"/>
      <c r="E1621" s="201"/>
      <c r="F1621" s="266"/>
      <c r="G1621" s="266"/>
      <c r="H1621" s="265"/>
      <c r="I1621" s="267"/>
      <c r="J1621" s="467"/>
      <c r="K1621" s="64"/>
      <c r="L1621" s="29"/>
      <c r="M1621" s="82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  <c r="Y1621" s="24"/>
      <c r="Z1621" s="24"/>
      <c r="AA1621" s="24"/>
      <c r="AB1621" s="24"/>
      <c r="AC1621" s="24"/>
      <c r="AD1621" s="24"/>
      <c r="AE1621" s="24"/>
      <c r="AF1621" s="24"/>
      <c r="AG1621" s="24"/>
      <c r="AH1621" s="24"/>
      <c r="AI1621" s="24"/>
      <c r="AJ1621" s="24"/>
    </row>
    <row r="1622" spans="1:36" s="18" customFormat="1" ht="19.5" customHeight="1">
      <c r="A1622" s="264"/>
      <c r="B1622" s="167"/>
      <c r="C1622" s="167"/>
      <c r="D1622" s="227"/>
      <c r="E1622" s="201"/>
      <c r="F1622" s="266"/>
      <c r="G1622" s="266"/>
      <c r="H1622" s="265"/>
      <c r="I1622" s="267"/>
      <c r="J1622" s="467"/>
      <c r="K1622" s="64"/>
      <c r="L1622" s="29"/>
      <c r="M1622" s="82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24"/>
      <c r="AG1622" s="24"/>
      <c r="AH1622" s="24"/>
      <c r="AI1622" s="24"/>
      <c r="AJ1622" s="24"/>
    </row>
    <row r="1623" spans="1:36" s="18" customFormat="1" ht="19.5" customHeight="1">
      <c r="A1623" s="264"/>
      <c r="B1623" s="167"/>
      <c r="C1623" s="167"/>
      <c r="D1623" s="227"/>
      <c r="E1623" s="201"/>
      <c r="F1623" s="266"/>
      <c r="G1623" s="266"/>
      <c r="H1623" s="265"/>
      <c r="I1623" s="267"/>
      <c r="J1623" s="467"/>
      <c r="K1623" s="64"/>
      <c r="L1623" s="29"/>
      <c r="M1623" s="82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24"/>
      <c r="AC1623" s="24"/>
      <c r="AD1623" s="24"/>
      <c r="AE1623" s="24"/>
      <c r="AF1623" s="24"/>
      <c r="AG1623" s="24"/>
      <c r="AH1623" s="24"/>
      <c r="AI1623" s="24"/>
      <c r="AJ1623" s="24"/>
    </row>
    <row r="1624" spans="1:36" s="18" customFormat="1" ht="19.5" customHeight="1">
      <c r="A1624" s="298"/>
      <c r="B1624" s="290"/>
      <c r="C1624" s="290"/>
      <c r="D1624" s="227"/>
      <c r="E1624" s="287"/>
      <c r="F1624" s="287"/>
      <c r="G1624" s="287"/>
      <c r="H1624" s="290"/>
      <c r="I1624" s="288"/>
      <c r="J1624" s="467"/>
      <c r="K1624" s="64"/>
      <c r="L1624" s="29"/>
      <c r="M1624" s="82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24"/>
      <c r="AC1624" s="24"/>
      <c r="AD1624" s="24"/>
      <c r="AE1624" s="24"/>
      <c r="AF1624" s="24"/>
      <c r="AG1624" s="24"/>
      <c r="AH1624" s="24"/>
      <c r="AI1624" s="24"/>
      <c r="AJ1624" s="24"/>
    </row>
    <row r="1625" spans="1:36" s="18" customFormat="1" ht="57" customHeight="1">
      <c r="A1625" s="264"/>
      <c r="B1625" s="167"/>
      <c r="C1625" s="167"/>
      <c r="D1625" s="227"/>
      <c r="E1625" s="201"/>
      <c r="F1625" s="266"/>
      <c r="G1625" s="266"/>
      <c r="H1625" s="265"/>
      <c r="I1625" s="267"/>
      <c r="J1625" s="467"/>
      <c r="K1625" s="64"/>
      <c r="L1625" s="29"/>
      <c r="M1625" s="82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24"/>
      <c r="AG1625" s="24"/>
      <c r="AH1625" s="24"/>
      <c r="AI1625" s="24"/>
      <c r="AJ1625" s="24"/>
    </row>
    <row r="1626" spans="1:36" s="18" customFormat="1" ht="19.5" customHeight="1">
      <c r="A1626" s="269"/>
      <c r="B1626" s="272"/>
      <c r="C1626" s="272"/>
      <c r="D1626" s="227"/>
      <c r="E1626" s="36"/>
      <c r="F1626" s="271"/>
      <c r="G1626" s="271"/>
      <c r="H1626" s="271"/>
      <c r="I1626" s="273"/>
      <c r="J1626" s="467"/>
      <c r="K1626" s="64"/>
      <c r="L1626" s="29"/>
      <c r="M1626" s="82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/>
      <c r="Y1626" s="24"/>
      <c r="Z1626" s="24"/>
      <c r="AA1626" s="24"/>
      <c r="AB1626" s="24"/>
      <c r="AC1626" s="24"/>
      <c r="AD1626" s="24"/>
      <c r="AE1626" s="24"/>
      <c r="AF1626" s="24"/>
      <c r="AG1626" s="24"/>
      <c r="AH1626" s="24"/>
      <c r="AI1626" s="24"/>
      <c r="AJ1626" s="24"/>
    </row>
    <row r="1627" spans="1:36" s="18" customFormat="1" ht="27" customHeight="1">
      <c r="A1627" s="463"/>
      <c r="B1627" s="464"/>
      <c r="C1627" s="464"/>
      <c r="D1627" s="464"/>
      <c r="E1627" s="465"/>
      <c r="F1627" s="465"/>
      <c r="G1627" s="465"/>
      <c r="H1627" s="466"/>
      <c r="I1627" s="467"/>
      <c r="J1627" s="467"/>
      <c r="K1627" s="64"/>
      <c r="L1627" s="29"/>
      <c r="M1627" s="82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  <c r="Y1627" s="24"/>
      <c r="Z1627" s="24"/>
      <c r="AA1627" s="24"/>
      <c r="AB1627" s="24"/>
      <c r="AC1627" s="24"/>
      <c r="AD1627" s="24"/>
      <c r="AE1627" s="24"/>
      <c r="AF1627" s="24"/>
      <c r="AG1627" s="24"/>
      <c r="AH1627" s="24"/>
      <c r="AI1627" s="24"/>
      <c r="AJ1627" s="24"/>
    </row>
    <row r="1628" spans="1:36" s="18" customFormat="1" ht="31.5" customHeight="1">
      <c r="A1628" s="463"/>
      <c r="B1628" s="464"/>
      <c r="C1628" s="464"/>
      <c r="D1628" s="464"/>
      <c r="E1628" s="465"/>
      <c r="F1628" s="465"/>
      <c r="G1628" s="465"/>
      <c r="H1628" s="466"/>
      <c r="I1628" s="467"/>
      <c r="J1628" s="467"/>
      <c r="K1628" s="64"/>
      <c r="L1628" s="29"/>
      <c r="M1628" s="82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24"/>
      <c r="AG1628" s="24"/>
      <c r="AH1628" s="24"/>
      <c r="AI1628" s="24"/>
      <c r="AJ1628" s="24"/>
    </row>
    <row r="1629" spans="1:36" s="18" customFormat="1" ht="19.5" customHeight="1">
      <c r="A1629" s="463"/>
      <c r="B1629" s="464"/>
      <c r="C1629" s="464"/>
      <c r="D1629" s="464"/>
      <c r="E1629" s="465"/>
      <c r="F1629" s="465"/>
      <c r="G1629" s="465"/>
      <c r="H1629" s="466"/>
      <c r="I1629" s="467"/>
      <c r="J1629" s="467"/>
      <c r="K1629" s="64"/>
      <c r="L1629" s="29"/>
      <c r="M1629" s="82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  <c r="Y1629" s="24"/>
      <c r="Z1629" s="24"/>
      <c r="AA1629" s="24"/>
      <c r="AB1629" s="24"/>
      <c r="AC1629" s="24"/>
      <c r="AD1629" s="24"/>
      <c r="AE1629" s="24"/>
      <c r="AF1629" s="24"/>
      <c r="AG1629" s="24"/>
      <c r="AH1629" s="24"/>
      <c r="AI1629" s="24"/>
      <c r="AJ1629" s="24"/>
    </row>
    <row r="1630" spans="1:36" s="18" customFormat="1" ht="24.75" customHeight="1">
      <c r="A1630" s="463"/>
      <c r="B1630" s="464"/>
      <c r="C1630" s="464"/>
      <c r="D1630" s="464"/>
      <c r="E1630" s="465"/>
      <c r="F1630" s="465"/>
      <c r="G1630" s="465"/>
      <c r="H1630" s="466"/>
      <c r="I1630" s="467"/>
      <c r="J1630" s="467"/>
      <c r="K1630" s="64"/>
      <c r="L1630" s="29"/>
      <c r="M1630" s="82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24"/>
      <c r="AG1630" s="24"/>
      <c r="AH1630" s="24"/>
      <c r="AI1630" s="24"/>
      <c r="AJ1630" s="24"/>
    </row>
    <row r="1631" spans="1:36" s="18" customFormat="1" ht="19.5" customHeight="1">
      <c r="A1631" s="463"/>
      <c r="B1631" s="464"/>
      <c r="C1631" s="464"/>
      <c r="D1631" s="464"/>
      <c r="E1631" s="465"/>
      <c r="F1631" s="465"/>
      <c r="G1631" s="465"/>
      <c r="H1631" s="466"/>
      <c r="I1631" s="467"/>
      <c r="J1631" s="467"/>
      <c r="K1631" s="64"/>
      <c r="L1631" s="29"/>
      <c r="M1631" s="82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4"/>
      <c r="AD1631" s="24"/>
      <c r="AE1631" s="24"/>
      <c r="AF1631" s="24"/>
      <c r="AG1631" s="24"/>
      <c r="AH1631" s="24"/>
      <c r="AI1631" s="24"/>
      <c r="AJ1631" s="24"/>
    </row>
    <row r="1632" spans="1:36" s="18" customFormat="1" ht="19.5" customHeight="1">
      <c r="A1632" s="463"/>
      <c r="B1632" s="464"/>
      <c r="C1632" s="464"/>
      <c r="D1632" s="464"/>
      <c r="E1632" s="465"/>
      <c r="F1632" s="465"/>
      <c r="G1632" s="465"/>
      <c r="H1632" s="466"/>
      <c r="I1632" s="467"/>
      <c r="J1632" s="467"/>
      <c r="K1632" s="64"/>
      <c r="L1632" s="29"/>
      <c r="M1632" s="82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  <c r="AB1632" s="24"/>
      <c r="AC1632" s="24"/>
      <c r="AD1632" s="24"/>
      <c r="AE1632" s="24"/>
      <c r="AF1632" s="24"/>
      <c r="AG1632" s="24"/>
      <c r="AH1632" s="24"/>
      <c r="AI1632" s="24"/>
      <c r="AJ1632" s="24"/>
    </row>
    <row r="1633" spans="1:36" s="18" customFormat="1" ht="19.5" customHeight="1">
      <c r="A1633" s="463"/>
      <c r="B1633" s="464"/>
      <c r="C1633" s="464"/>
      <c r="D1633" s="464"/>
      <c r="E1633" s="465"/>
      <c r="F1633" s="465"/>
      <c r="G1633" s="465"/>
      <c r="H1633" s="466"/>
      <c r="I1633" s="467"/>
      <c r="J1633" s="467"/>
      <c r="K1633" s="64"/>
      <c r="L1633" s="29"/>
      <c r="M1633" s="82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24"/>
      <c r="AC1633" s="24"/>
      <c r="AD1633" s="24"/>
      <c r="AE1633" s="24"/>
      <c r="AF1633" s="24"/>
      <c r="AG1633" s="24"/>
      <c r="AH1633" s="24"/>
      <c r="AI1633" s="24"/>
      <c r="AJ1633" s="24"/>
    </row>
    <row r="1634" spans="1:36" s="18" customFormat="1" ht="19.5" customHeight="1">
      <c r="A1634" s="463"/>
      <c r="B1634" s="464"/>
      <c r="C1634" s="464"/>
      <c r="D1634" s="464"/>
      <c r="E1634" s="465"/>
      <c r="F1634" s="465"/>
      <c r="G1634" s="465"/>
      <c r="H1634" s="466"/>
      <c r="I1634" s="467"/>
      <c r="J1634" s="467"/>
      <c r="K1634" s="64"/>
      <c r="L1634" s="29"/>
      <c r="M1634" s="82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24"/>
      <c r="AG1634" s="24"/>
      <c r="AH1634" s="24"/>
      <c r="AI1634" s="24"/>
      <c r="AJ1634" s="24"/>
    </row>
    <row r="1635" spans="1:36" s="18" customFormat="1" ht="19.5" customHeight="1">
      <c r="A1635" s="463"/>
      <c r="B1635" s="464"/>
      <c r="C1635" s="464"/>
      <c r="D1635" s="464"/>
      <c r="E1635" s="465"/>
      <c r="F1635" s="465"/>
      <c r="G1635" s="465"/>
      <c r="H1635" s="466"/>
      <c r="I1635" s="467"/>
      <c r="J1635" s="467"/>
      <c r="K1635" s="64"/>
      <c r="L1635" s="29"/>
      <c r="M1635" s="82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4"/>
      <c r="AD1635" s="24"/>
      <c r="AE1635" s="24"/>
      <c r="AF1635" s="24"/>
      <c r="AG1635" s="24"/>
      <c r="AH1635" s="24"/>
      <c r="AI1635" s="24"/>
      <c r="AJ1635" s="24"/>
    </row>
    <row r="1636" spans="1:36" s="18" customFormat="1" ht="19.5" customHeight="1">
      <c r="A1636" s="463"/>
      <c r="B1636" s="464"/>
      <c r="C1636" s="464"/>
      <c r="D1636" s="464"/>
      <c r="E1636" s="465"/>
      <c r="F1636" s="465"/>
      <c r="G1636" s="465"/>
      <c r="H1636" s="466"/>
      <c r="I1636" s="467"/>
      <c r="J1636" s="467"/>
      <c r="K1636" s="64"/>
      <c r="L1636" s="29"/>
      <c r="M1636" s="82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4"/>
      <c r="AD1636" s="24"/>
      <c r="AE1636" s="24"/>
      <c r="AF1636" s="24"/>
      <c r="AG1636" s="24"/>
      <c r="AH1636" s="24"/>
      <c r="AI1636" s="24"/>
      <c r="AJ1636" s="24"/>
    </row>
    <row r="1637" spans="1:36" s="18" customFormat="1" ht="19.5" customHeight="1">
      <c r="A1637" s="463"/>
      <c r="B1637" s="464"/>
      <c r="C1637" s="464"/>
      <c r="D1637" s="464"/>
      <c r="E1637" s="465"/>
      <c r="F1637" s="465"/>
      <c r="G1637" s="465"/>
      <c r="H1637" s="466"/>
      <c r="I1637" s="467"/>
      <c r="J1637" s="467"/>
      <c r="K1637" s="64"/>
      <c r="L1637" s="29"/>
      <c r="M1637" s="82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24"/>
      <c r="Y1637" s="24"/>
      <c r="Z1637" s="24"/>
      <c r="AA1637" s="24"/>
      <c r="AB1637" s="24"/>
      <c r="AC1637" s="24"/>
      <c r="AD1637" s="24"/>
      <c r="AE1637" s="24"/>
      <c r="AF1637" s="24"/>
      <c r="AG1637" s="24"/>
      <c r="AH1637" s="24"/>
      <c r="AI1637" s="24"/>
      <c r="AJ1637" s="24"/>
    </row>
    <row r="1638" spans="1:36" s="18" customFormat="1" ht="19.5" customHeight="1">
      <c r="A1638" s="463"/>
      <c r="B1638" s="464"/>
      <c r="C1638" s="464"/>
      <c r="D1638" s="464"/>
      <c r="E1638" s="465"/>
      <c r="F1638" s="465"/>
      <c r="G1638" s="465"/>
      <c r="H1638" s="466"/>
      <c r="I1638" s="467"/>
      <c r="J1638" s="467"/>
      <c r="K1638" s="64"/>
      <c r="L1638" s="29"/>
      <c r="M1638" s="82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  <c r="AJ1638" s="24"/>
    </row>
    <row r="1639" spans="1:36" s="18" customFormat="1" ht="19.5" customHeight="1">
      <c r="A1639" s="463"/>
      <c r="B1639" s="464"/>
      <c r="C1639" s="464"/>
      <c r="D1639" s="464"/>
      <c r="E1639" s="465"/>
      <c r="F1639" s="465"/>
      <c r="G1639" s="465"/>
      <c r="H1639" s="466"/>
      <c r="I1639" s="467"/>
      <c r="J1639" s="467"/>
      <c r="K1639" s="64"/>
      <c r="L1639" s="29"/>
      <c r="M1639" s="82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24"/>
      <c r="AG1639" s="24"/>
      <c r="AH1639" s="24"/>
      <c r="AI1639" s="24"/>
      <c r="AJ1639" s="24"/>
    </row>
    <row r="1640" spans="1:36" s="18" customFormat="1" ht="19.5" customHeight="1">
      <c r="A1640" s="463"/>
      <c r="B1640" s="464"/>
      <c r="C1640" s="464"/>
      <c r="D1640" s="464"/>
      <c r="E1640" s="465"/>
      <c r="F1640" s="465"/>
      <c r="G1640" s="465"/>
      <c r="H1640" s="466"/>
      <c r="I1640" s="467"/>
      <c r="J1640" s="467"/>
      <c r="K1640" s="64"/>
      <c r="L1640" s="29"/>
      <c r="M1640" s="82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24"/>
      <c r="AG1640" s="24"/>
      <c r="AH1640" s="24"/>
      <c r="AI1640" s="24"/>
      <c r="AJ1640" s="24"/>
    </row>
    <row r="1641" spans="1:36" s="18" customFormat="1" ht="19.5" customHeight="1">
      <c r="A1641" s="463"/>
      <c r="B1641" s="464"/>
      <c r="C1641" s="464"/>
      <c r="D1641" s="464"/>
      <c r="E1641" s="465"/>
      <c r="F1641" s="465"/>
      <c r="G1641" s="465"/>
      <c r="H1641" s="466"/>
      <c r="I1641" s="467"/>
      <c r="J1641" s="467"/>
      <c r="K1641" s="64"/>
      <c r="L1641" s="29"/>
      <c r="M1641" s="82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24"/>
      <c r="AG1641" s="24"/>
      <c r="AH1641" s="24"/>
      <c r="AI1641" s="24"/>
      <c r="AJ1641" s="24"/>
    </row>
    <row r="1642" spans="1:36" s="18" customFormat="1" ht="19.5" customHeight="1">
      <c r="A1642" s="463"/>
      <c r="B1642" s="464"/>
      <c r="C1642" s="464"/>
      <c r="D1642" s="464"/>
      <c r="E1642" s="465"/>
      <c r="F1642" s="465"/>
      <c r="G1642" s="465"/>
      <c r="H1642" s="466"/>
      <c r="I1642" s="467"/>
      <c r="J1642" s="467"/>
      <c r="K1642" s="64"/>
      <c r="L1642" s="29"/>
      <c r="M1642" s="82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24"/>
      <c r="AG1642" s="24"/>
      <c r="AH1642" s="24"/>
      <c r="AI1642" s="24"/>
      <c r="AJ1642" s="24"/>
    </row>
    <row r="1643" spans="1:36" s="18" customFormat="1" ht="19.5" customHeight="1">
      <c r="A1643" s="463"/>
      <c r="B1643" s="464"/>
      <c r="C1643" s="464"/>
      <c r="D1643" s="464"/>
      <c r="E1643" s="465"/>
      <c r="F1643" s="465"/>
      <c r="G1643" s="465"/>
      <c r="H1643" s="466"/>
      <c r="I1643" s="467"/>
      <c r="J1643" s="467"/>
      <c r="K1643" s="64"/>
      <c r="L1643" s="29"/>
      <c r="M1643" s="82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24"/>
      <c r="AG1643" s="24"/>
      <c r="AH1643" s="24"/>
      <c r="AI1643" s="24"/>
      <c r="AJ1643" s="24"/>
    </row>
    <row r="1644" spans="1:36" s="18" customFormat="1" ht="19.5" customHeight="1">
      <c r="A1644" s="463"/>
      <c r="B1644" s="464"/>
      <c r="C1644" s="464"/>
      <c r="D1644" s="464"/>
      <c r="E1644" s="465"/>
      <c r="F1644" s="465"/>
      <c r="G1644" s="465"/>
      <c r="H1644" s="466"/>
      <c r="I1644" s="467"/>
      <c r="J1644" s="467"/>
      <c r="K1644" s="64"/>
      <c r="L1644" s="29"/>
      <c r="M1644" s="82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24"/>
      <c r="Y1644" s="24"/>
      <c r="Z1644" s="24"/>
      <c r="AA1644" s="24"/>
      <c r="AB1644" s="24"/>
      <c r="AC1644" s="24"/>
      <c r="AD1644" s="24"/>
      <c r="AE1644" s="24"/>
      <c r="AF1644" s="24"/>
      <c r="AG1644" s="24"/>
      <c r="AH1644" s="24"/>
      <c r="AI1644" s="24"/>
      <c r="AJ1644" s="24"/>
    </row>
    <row r="1645" spans="1:36" s="18" customFormat="1" ht="19.5" customHeight="1">
      <c r="A1645" s="463"/>
      <c r="B1645" s="464"/>
      <c r="C1645" s="464"/>
      <c r="D1645" s="464"/>
      <c r="E1645" s="465"/>
      <c r="F1645" s="465"/>
      <c r="G1645" s="465"/>
      <c r="H1645" s="466"/>
      <c r="I1645" s="467"/>
      <c r="J1645" s="467"/>
      <c r="K1645" s="64"/>
      <c r="L1645" s="29"/>
      <c r="M1645" s="82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24"/>
      <c r="AG1645" s="24"/>
      <c r="AH1645" s="24"/>
      <c r="AI1645" s="24"/>
      <c r="AJ1645" s="24"/>
    </row>
    <row r="1646" spans="1:36" s="18" customFormat="1" ht="19.5" customHeight="1">
      <c r="A1646" s="463"/>
      <c r="B1646" s="464"/>
      <c r="C1646" s="464"/>
      <c r="D1646" s="464"/>
      <c r="E1646" s="465"/>
      <c r="F1646" s="465"/>
      <c r="G1646" s="465"/>
      <c r="H1646" s="466"/>
      <c r="I1646" s="467"/>
      <c r="J1646" s="467"/>
      <c r="K1646" s="64"/>
      <c r="L1646" s="29"/>
      <c r="M1646" s="82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24"/>
      <c r="AG1646" s="24"/>
      <c r="AH1646" s="24"/>
      <c r="AI1646" s="24"/>
      <c r="AJ1646" s="24"/>
    </row>
    <row r="1647" spans="1:36" s="18" customFormat="1" ht="19.5" customHeight="1">
      <c r="A1647" s="463"/>
      <c r="B1647" s="464"/>
      <c r="C1647" s="464"/>
      <c r="D1647" s="464"/>
      <c r="E1647" s="465"/>
      <c r="F1647" s="465"/>
      <c r="G1647" s="465"/>
      <c r="H1647" s="466"/>
      <c r="I1647" s="467"/>
      <c r="J1647" s="467"/>
      <c r="K1647" s="64"/>
      <c r="L1647" s="29"/>
      <c r="M1647" s="82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24"/>
      <c r="AG1647" s="24"/>
      <c r="AH1647" s="24"/>
      <c r="AI1647" s="24"/>
      <c r="AJ1647" s="24"/>
    </row>
    <row r="1648" spans="1:36" s="18" customFormat="1" ht="19.5" customHeight="1">
      <c r="A1648" s="463"/>
      <c r="B1648" s="464"/>
      <c r="C1648" s="464"/>
      <c r="D1648" s="464"/>
      <c r="E1648" s="465"/>
      <c r="F1648" s="465"/>
      <c r="G1648" s="465"/>
      <c r="H1648" s="466"/>
      <c r="I1648" s="467"/>
      <c r="J1648" s="467"/>
      <c r="K1648" s="64"/>
      <c r="L1648" s="29"/>
      <c r="M1648" s="82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  <c r="AF1648" s="24"/>
      <c r="AG1648" s="24"/>
      <c r="AH1648" s="24"/>
      <c r="AI1648" s="24"/>
      <c r="AJ1648" s="24"/>
    </row>
    <row r="1649" spans="1:36" s="18" customFormat="1" ht="19.5" customHeight="1">
      <c r="A1649" s="463"/>
      <c r="B1649" s="464"/>
      <c r="C1649" s="464"/>
      <c r="D1649" s="464"/>
      <c r="E1649" s="465"/>
      <c r="F1649" s="465"/>
      <c r="G1649" s="465"/>
      <c r="H1649" s="466"/>
      <c r="I1649" s="467"/>
      <c r="J1649" s="467"/>
      <c r="K1649" s="64"/>
      <c r="L1649" s="29"/>
      <c r="M1649" s="82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  <c r="Y1649" s="24"/>
      <c r="Z1649" s="24"/>
      <c r="AA1649" s="24"/>
      <c r="AB1649" s="24"/>
      <c r="AC1649" s="24"/>
      <c r="AD1649" s="24"/>
      <c r="AE1649" s="24"/>
      <c r="AF1649" s="24"/>
      <c r="AG1649" s="24"/>
      <c r="AH1649" s="24"/>
      <c r="AI1649" s="24"/>
      <c r="AJ1649" s="24"/>
    </row>
    <row r="1650" spans="1:36" s="18" customFormat="1" ht="19.5" customHeight="1">
      <c r="A1650" s="463"/>
      <c r="B1650" s="464"/>
      <c r="C1650" s="464"/>
      <c r="D1650" s="464"/>
      <c r="E1650" s="465"/>
      <c r="F1650" s="465"/>
      <c r="G1650" s="465"/>
      <c r="H1650" s="466"/>
      <c r="I1650" s="467"/>
      <c r="J1650" s="467"/>
      <c r="K1650" s="64"/>
      <c r="L1650" s="29"/>
      <c r="M1650" s="82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24"/>
      <c r="AC1650" s="24"/>
      <c r="AD1650" s="24"/>
      <c r="AE1650" s="24"/>
      <c r="AF1650" s="24"/>
      <c r="AG1650" s="24"/>
      <c r="AH1650" s="24"/>
      <c r="AI1650" s="24"/>
      <c r="AJ1650" s="24"/>
    </row>
    <row r="1651" spans="1:36" s="18" customFormat="1" ht="19.5" customHeight="1">
      <c r="A1651" s="463"/>
      <c r="B1651" s="464"/>
      <c r="C1651" s="464"/>
      <c r="D1651" s="464"/>
      <c r="E1651" s="465"/>
      <c r="F1651" s="465"/>
      <c r="G1651" s="465"/>
      <c r="H1651" s="466"/>
      <c r="I1651" s="467"/>
      <c r="J1651" s="467"/>
      <c r="K1651" s="64"/>
      <c r="L1651" s="29"/>
      <c r="M1651" s="82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24"/>
      <c r="AC1651" s="24"/>
      <c r="AD1651" s="24"/>
      <c r="AE1651" s="24"/>
      <c r="AF1651" s="24"/>
      <c r="AG1651" s="24"/>
      <c r="AH1651" s="24"/>
      <c r="AI1651" s="24"/>
      <c r="AJ1651" s="24"/>
    </row>
    <row r="1652" spans="1:36" s="18" customFormat="1" ht="19.5" customHeight="1">
      <c r="A1652" s="463"/>
      <c r="B1652" s="464"/>
      <c r="C1652" s="464"/>
      <c r="D1652" s="464"/>
      <c r="E1652" s="465"/>
      <c r="F1652" s="465"/>
      <c r="G1652" s="465"/>
      <c r="H1652" s="466"/>
      <c r="I1652" s="467"/>
      <c r="J1652" s="467"/>
      <c r="K1652" s="64"/>
      <c r="L1652" s="29"/>
      <c r="M1652" s="82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24"/>
      <c r="Y1652" s="24"/>
      <c r="Z1652" s="24"/>
      <c r="AA1652" s="24"/>
      <c r="AB1652" s="24"/>
      <c r="AC1652" s="24"/>
      <c r="AD1652" s="24"/>
      <c r="AE1652" s="24"/>
      <c r="AF1652" s="24"/>
      <c r="AG1652" s="24"/>
      <c r="AH1652" s="24"/>
      <c r="AI1652" s="24"/>
      <c r="AJ1652" s="24"/>
    </row>
    <row r="1653" spans="1:36" s="18" customFormat="1" ht="19.5" customHeight="1">
      <c r="A1653" s="463"/>
      <c r="B1653" s="464"/>
      <c r="C1653" s="464"/>
      <c r="D1653" s="464"/>
      <c r="E1653" s="465"/>
      <c r="F1653" s="465"/>
      <c r="G1653" s="465"/>
      <c r="H1653" s="466"/>
      <c r="I1653" s="467"/>
      <c r="J1653" s="467"/>
      <c r="K1653" s="64"/>
      <c r="L1653" s="29"/>
      <c r="M1653" s="82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  <c r="Y1653" s="24"/>
      <c r="Z1653" s="24"/>
      <c r="AA1653" s="24"/>
      <c r="AB1653" s="24"/>
      <c r="AC1653" s="24"/>
      <c r="AD1653" s="24"/>
      <c r="AE1653" s="24"/>
      <c r="AF1653" s="24"/>
      <c r="AG1653" s="24"/>
      <c r="AH1653" s="24"/>
      <c r="AI1653" s="24"/>
      <c r="AJ1653" s="24"/>
    </row>
    <row r="1654" spans="1:36" s="18" customFormat="1" ht="19.5" customHeight="1">
      <c r="A1654" s="463"/>
      <c r="B1654" s="464"/>
      <c r="C1654" s="464"/>
      <c r="D1654" s="464"/>
      <c r="E1654" s="465"/>
      <c r="F1654" s="465"/>
      <c r="G1654" s="465"/>
      <c r="H1654" s="466"/>
      <c r="I1654" s="467"/>
      <c r="J1654" s="467"/>
      <c r="K1654" s="64"/>
      <c r="L1654" s="29"/>
      <c r="M1654" s="82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24"/>
      <c r="AC1654" s="24"/>
      <c r="AD1654" s="24"/>
      <c r="AE1654" s="24"/>
      <c r="AF1654" s="24"/>
      <c r="AG1654" s="24"/>
      <c r="AH1654" s="24"/>
      <c r="AI1654" s="24"/>
      <c r="AJ1654" s="24"/>
    </row>
    <row r="1655" spans="1:36" s="18" customFormat="1" ht="19.5" customHeight="1">
      <c r="A1655" s="463"/>
      <c r="B1655" s="464"/>
      <c r="C1655" s="464"/>
      <c r="D1655" s="464"/>
      <c r="E1655" s="465"/>
      <c r="F1655" s="465"/>
      <c r="G1655" s="465"/>
      <c r="H1655" s="466"/>
      <c r="I1655" s="467"/>
      <c r="J1655" s="467"/>
      <c r="K1655" s="64"/>
      <c r="L1655" s="29"/>
      <c r="M1655" s="82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24"/>
      <c r="AG1655" s="24"/>
      <c r="AH1655" s="24"/>
      <c r="AI1655" s="24"/>
      <c r="AJ1655" s="24"/>
    </row>
    <row r="1656" spans="1:36" s="18" customFormat="1" ht="19.5" customHeight="1">
      <c r="A1656" s="463"/>
      <c r="B1656" s="464"/>
      <c r="C1656" s="464"/>
      <c r="D1656" s="464"/>
      <c r="E1656" s="465"/>
      <c r="F1656" s="465"/>
      <c r="G1656" s="465"/>
      <c r="H1656" s="466"/>
      <c r="I1656" s="467"/>
      <c r="J1656" s="467"/>
      <c r="K1656" s="64"/>
      <c r="L1656" s="29"/>
      <c r="M1656" s="82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4"/>
      <c r="AD1656" s="24"/>
      <c r="AE1656" s="24"/>
      <c r="AF1656" s="24"/>
      <c r="AG1656" s="24"/>
      <c r="AH1656" s="24"/>
      <c r="AI1656" s="24"/>
      <c r="AJ1656" s="24"/>
    </row>
    <row r="1657" spans="1:36" s="18" customFormat="1" ht="19.5" customHeight="1">
      <c r="A1657" s="463"/>
      <c r="B1657" s="464"/>
      <c r="C1657" s="464"/>
      <c r="D1657" s="464"/>
      <c r="E1657" s="465"/>
      <c r="F1657" s="465"/>
      <c r="G1657" s="465"/>
      <c r="H1657" s="466"/>
      <c r="I1657" s="467"/>
      <c r="J1657" s="467"/>
      <c r="K1657" s="64"/>
      <c r="L1657" s="29"/>
      <c r="M1657" s="82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24"/>
      <c r="AC1657" s="24"/>
      <c r="AD1657" s="24"/>
      <c r="AE1657" s="24"/>
      <c r="AF1657" s="24"/>
      <c r="AG1657" s="24"/>
      <c r="AH1657" s="24"/>
      <c r="AI1657" s="24"/>
      <c r="AJ1657" s="24"/>
    </row>
    <row r="1658" spans="1:36" s="18" customFormat="1" ht="19.5" customHeight="1">
      <c r="A1658" s="463"/>
      <c r="B1658" s="464"/>
      <c r="C1658" s="464"/>
      <c r="D1658" s="464"/>
      <c r="E1658" s="465"/>
      <c r="F1658" s="465"/>
      <c r="G1658" s="465"/>
      <c r="H1658" s="466"/>
      <c r="I1658" s="467"/>
      <c r="J1658" s="467"/>
      <c r="K1658" s="64"/>
      <c r="L1658" s="29"/>
      <c r="M1658" s="82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  <c r="Y1658" s="24"/>
      <c r="Z1658" s="24"/>
      <c r="AA1658" s="24"/>
      <c r="AB1658" s="24"/>
      <c r="AC1658" s="24"/>
      <c r="AD1658" s="24"/>
      <c r="AE1658" s="24"/>
      <c r="AF1658" s="24"/>
      <c r="AG1658" s="24"/>
      <c r="AH1658" s="24"/>
      <c r="AI1658" s="24"/>
      <c r="AJ1658" s="24"/>
    </row>
    <row r="1659" spans="1:36" s="18" customFormat="1" ht="19.5" customHeight="1">
      <c r="A1659" s="463"/>
      <c r="B1659" s="464"/>
      <c r="C1659" s="464"/>
      <c r="D1659" s="464"/>
      <c r="E1659" s="465"/>
      <c r="F1659" s="465"/>
      <c r="G1659" s="465"/>
      <c r="H1659" s="466"/>
      <c r="I1659" s="467"/>
      <c r="J1659" s="467"/>
      <c r="K1659" s="64"/>
      <c r="L1659" s="29"/>
      <c r="M1659" s="82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  <c r="Y1659" s="24"/>
      <c r="Z1659" s="24"/>
      <c r="AA1659" s="24"/>
      <c r="AB1659" s="24"/>
      <c r="AC1659" s="24"/>
      <c r="AD1659" s="24"/>
      <c r="AE1659" s="24"/>
      <c r="AF1659" s="24"/>
      <c r="AG1659" s="24"/>
      <c r="AH1659" s="24"/>
      <c r="AI1659" s="24"/>
      <c r="AJ1659" s="24"/>
    </row>
    <row r="1660" spans="1:36" s="18" customFormat="1" ht="19.5" customHeight="1">
      <c r="A1660" s="463"/>
      <c r="B1660" s="464"/>
      <c r="C1660" s="464"/>
      <c r="D1660" s="464"/>
      <c r="E1660" s="465"/>
      <c r="F1660" s="465"/>
      <c r="G1660" s="465"/>
      <c r="H1660" s="466"/>
      <c r="I1660" s="467"/>
      <c r="J1660" s="467"/>
      <c r="K1660" s="64"/>
      <c r="L1660" s="29"/>
      <c r="M1660" s="82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  <c r="Y1660" s="24"/>
      <c r="Z1660" s="24"/>
      <c r="AA1660" s="24"/>
      <c r="AB1660" s="24"/>
      <c r="AC1660" s="24"/>
      <c r="AD1660" s="24"/>
      <c r="AE1660" s="24"/>
      <c r="AF1660" s="24"/>
      <c r="AG1660" s="24"/>
      <c r="AH1660" s="24"/>
      <c r="AI1660" s="24"/>
      <c r="AJ1660" s="24"/>
    </row>
    <row r="1661" spans="1:36" s="18" customFormat="1" ht="19.5" customHeight="1">
      <c r="A1661" s="463"/>
      <c r="B1661" s="464"/>
      <c r="C1661" s="464"/>
      <c r="D1661" s="464"/>
      <c r="E1661" s="465"/>
      <c r="F1661" s="465"/>
      <c r="G1661" s="465"/>
      <c r="H1661" s="466"/>
      <c r="I1661" s="467"/>
      <c r="J1661" s="467"/>
      <c r="K1661" s="64"/>
      <c r="L1661" s="29"/>
      <c r="M1661" s="82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24"/>
      <c r="Y1661" s="24"/>
      <c r="Z1661" s="24"/>
      <c r="AA1661" s="24"/>
      <c r="AB1661" s="24"/>
      <c r="AC1661" s="24"/>
      <c r="AD1661" s="24"/>
      <c r="AE1661" s="24"/>
      <c r="AF1661" s="24"/>
      <c r="AG1661" s="24"/>
      <c r="AH1661" s="24"/>
      <c r="AI1661" s="24"/>
      <c r="AJ1661" s="24"/>
    </row>
    <row r="1662" spans="1:36" s="18" customFormat="1" ht="51" customHeight="1">
      <c r="A1662" s="463"/>
      <c r="B1662" s="464"/>
      <c r="C1662" s="464"/>
      <c r="D1662" s="464"/>
      <c r="E1662" s="465"/>
      <c r="F1662" s="465"/>
      <c r="G1662" s="465"/>
      <c r="H1662" s="466"/>
      <c r="I1662" s="467"/>
      <c r="J1662" s="467"/>
      <c r="K1662" s="64"/>
      <c r="L1662" s="29"/>
      <c r="M1662" s="82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  <c r="Y1662" s="24"/>
      <c r="Z1662" s="24"/>
      <c r="AA1662" s="24"/>
      <c r="AB1662" s="24"/>
      <c r="AC1662" s="24"/>
      <c r="AD1662" s="24"/>
      <c r="AE1662" s="24"/>
      <c r="AF1662" s="24"/>
      <c r="AG1662" s="24"/>
      <c r="AH1662" s="24"/>
      <c r="AI1662" s="24"/>
      <c r="AJ1662" s="24"/>
    </row>
    <row r="1663" spans="1:36" s="18" customFormat="1" ht="19.5" customHeight="1">
      <c r="A1663" s="463"/>
      <c r="B1663" s="464"/>
      <c r="C1663" s="464"/>
      <c r="D1663" s="464"/>
      <c r="E1663" s="465"/>
      <c r="F1663" s="465"/>
      <c r="G1663" s="465"/>
      <c r="H1663" s="466"/>
      <c r="I1663" s="467"/>
      <c r="J1663" s="467"/>
      <c r="K1663" s="64"/>
      <c r="L1663" s="29"/>
      <c r="M1663" s="82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  <c r="Y1663" s="24"/>
      <c r="Z1663" s="24"/>
      <c r="AA1663" s="24"/>
      <c r="AB1663" s="24"/>
      <c r="AC1663" s="24"/>
      <c r="AD1663" s="24"/>
      <c r="AE1663" s="24"/>
      <c r="AF1663" s="24"/>
      <c r="AG1663" s="24"/>
      <c r="AH1663" s="24"/>
      <c r="AI1663" s="24"/>
      <c r="AJ1663" s="24"/>
    </row>
    <row r="1664" spans="1:36" s="18" customFormat="1" ht="19.5" customHeight="1">
      <c r="A1664" s="463"/>
      <c r="B1664" s="464"/>
      <c r="C1664" s="464"/>
      <c r="D1664" s="464"/>
      <c r="E1664" s="465"/>
      <c r="F1664" s="465"/>
      <c r="G1664" s="465"/>
      <c r="H1664" s="466"/>
      <c r="I1664" s="467"/>
      <c r="J1664" s="467"/>
      <c r="K1664" s="64"/>
      <c r="L1664" s="29"/>
      <c r="M1664" s="82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24"/>
      <c r="Y1664" s="24"/>
      <c r="Z1664" s="24"/>
      <c r="AA1664" s="24"/>
      <c r="AB1664" s="24"/>
      <c r="AC1664" s="24"/>
      <c r="AD1664" s="24"/>
      <c r="AE1664" s="24"/>
      <c r="AF1664" s="24"/>
      <c r="AG1664" s="24"/>
      <c r="AH1664" s="24"/>
      <c r="AI1664" s="24"/>
      <c r="AJ1664" s="24"/>
    </row>
    <row r="1665" spans="1:36" s="18" customFormat="1" ht="19.5" customHeight="1">
      <c r="A1665" s="463"/>
      <c r="B1665" s="464"/>
      <c r="C1665" s="464"/>
      <c r="D1665" s="464"/>
      <c r="E1665" s="465"/>
      <c r="F1665" s="465"/>
      <c r="G1665" s="465"/>
      <c r="H1665" s="466"/>
      <c r="I1665" s="467"/>
      <c r="J1665" s="467"/>
      <c r="K1665" s="64"/>
      <c r="L1665" s="29"/>
      <c r="M1665" s="82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4"/>
      <c r="AI1665" s="24"/>
      <c r="AJ1665" s="24"/>
    </row>
    <row r="1666" spans="1:36" s="18" customFormat="1" ht="19.5" customHeight="1">
      <c r="A1666" s="463"/>
      <c r="B1666" s="464"/>
      <c r="C1666" s="464"/>
      <c r="D1666" s="464"/>
      <c r="E1666" s="465"/>
      <c r="F1666" s="465"/>
      <c r="G1666" s="465"/>
      <c r="H1666" s="466"/>
      <c r="I1666" s="467"/>
      <c r="J1666" s="467"/>
      <c r="K1666" s="64"/>
      <c r="L1666" s="29"/>
      <c r="M1666" s="82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  <c r="Y1666" s="24"/>
      <c r="Z1666" s="24"/>
      <c r="AA1666" s="24"/>
      <c r="AB1666" s="24"/>
      <c r="AC1666" s="24"/>
      <c r="AD1666" s="24"/>
      <c r="AE1666" s="24"/>
      <c r="AF1666" s="24"/>
      <c r="AG1666" s="24"/>
      <c r="AH1666" s="24"/>
      <c r="AI1666" s="24"/>
      <c r="AJ1666" s="24"/>
    </row>
    <row r="1667" spans="1:36" s="18" customFormat="1" ht="19.5" customHeight="1">
      <c r="A1667" s="463"/>
      <c r="B1667" s="464"/>
      <c r="C1667" s="464"/>
      <c r="D1667" s="464"/>
      <c r="E1667" s="465"/>
      <c r="F1667" s="465"/>
      <c r="G1667" s="465"/>
      <c r="H1667" s="466"/>
      <c r="I1667" s="467"/>
      <c r="J1667" s="467"/>
      <c r="K1667" s="64"/>
      <c r="L1667" s="29"/>
      <c r="M1667" s="82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24"/>
      <c r="Y1667" s="24"/>
      <c r="Z1667" s="24"/>
      <c r="AA1667" s="24"/>
      <c r="AB1667" s="24"/>
      <c r="AC1667" s="24"/>
      <c r="AD1667" s="24"/>
      <c r="AE1667" s="24"/>
      <c r="AF1667" s="24"/>
      <c r="AG1667" s="24"/>
      <c r="AH1667" s="24"/>
      <c r="AI1667" s="24"/>
      <c r="AJ1667" s="24"/>
    </row>
    <row r="1668" spans="1:36" s="18" customFormat="1" ht="19.5" customHeight="1">
      <c r="A1668" s="463"/>
      <c r="B1668" s="464"/>
      <c r="C1668" s="464"/>
      <c r="D1668" s="464"/>
      <c r="E1668" s="465"/>
      <c r="F1668" s="465"/>
      <c r="G1668" s="465"/>
      <c r="H1668" s="466"/>
      <c r="I1668" s="467"/>
      <c r="J1668" s="467"/>
      <c r="K1668" s="64"/>
      <c r="L1668" s="29"/>
      <c r="M1668" s="82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  <c r="Y1668" s="24"/>
      <c r="Z1668" s="24"/>
      <c r="AA1668" s="24"/>
      <c r="AB1668" s="24"/>
      <c r="AC1668" s="24"/>
      <c r="AD1668" s="24"/>
      <c r="AE1668" s="24"/>
      <c r="AF1668" s="24"/>
      <c r="AG1668" s="24"/>
      <c r="AH1668" s="24"/>
      <c r="AI1668" s="24"/>
      <c r="AJ1668" s="24"/>
    </row>
    <row r="1669" spans="1:36" s="18" customFormat="1" ht="19.5" customHeight="1">
      <c r="A1669" s="463"/>
      <c r="B1669" s="464"/>
      <c r="C1669" s="464"/>
      <c r="D1669" s="464"/>
      <c r="E1669" s="465"/>
      <c r="F1669" s="465"/>
      <c r="G1669" s="465"/>
      <c r="H1669" s="466"/>
      <c r="I1669" s="467"/>
      <c r="J1669" s="467"/>
      <c r="K1669" s="64"/>
      <c r="L1669" s="29"/>
      <c r="M1669" s="82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  <c r="Y1669" s="24"/>
      <c r="Z1669" s="24"/>
      <c r="AA1669" s="24"/>
      <c r="AB1669" s="24"/>
      <c r="AC1669" s="24"/>
      <c r="AD1669" s="24"/>
      <c r="AE1669" s="24"/>
      <c r="AF1669" s="24"/>
      <c r="AG1669" s="24"/>
      <c r="AH1669" s="24"/>
      <c r="AI1669" s="24"/>
      <c r="AJ1669" s="24"/>
    </row>
    <row r="1670" spans="1:36" s="18" customFormat="1" ht="19.5" customHeight="1">
      <c r="A1670" s="463"/>
      <c r="B1670" s="464"/>
      <c r="C1670" s="464"/>
      <c r="D1670" s="464"/>
      <c r="E1670" s="465"/>
      <c r="F1670" s="465"/>
      <c r="G1670" s="465"/>
      <c r="H1670" s="466"/>
      <c r="I1670" s="467"/>
      <c r="J1670" s="467"/>
      <c r="K1670" s="64"/>
      <c r="L1670" s="29"/>
      <c r="M1670" s="82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24"/>
      <c r="Y1670" s="24"/>
      <c r="Z1670" s="24"/>
      <c r="AA1670" s="24"/>
      <c r="AB1670" s="24"/>
      <c r="AC1670" s="24"/>
      <c r="AD1670" s="24"/>
      <c r="AE1670" s="24"/>
      <c r="AF1670" s="24"/>
      <c r="AG1670" s="24"/>
      <c r="AH1670" s="24"/>
      <c r="AI1670" s="24"/>
      <c r="AJ1670" s="24"/>
    </row>
    <row r="1671" spans="1:36" s="18" customFormat="1" ht="19.5" customHeight="1">
      <c r="A1671" s="463"/>
      <c r="B1671" s="464"/>
      <c r="C1671" s="464"/>
      <c r="D1671" s="464"/>
      <c r="E1671" s="465"/>
      <c r="F1671" s="465"/>
      <c r="G1671" s="465"/>
      <c r="H1671" s="466"/>
      <c r="I1671" s="467"/>
      <c r="J1671" s="467"/>
      <c r="K1671" s="64"/>
      <c r="L1671" s="29"/>
      <c r="M1671" s="82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24"/>
      <c r="AC1671" s="24"/>
      <c r="AD1671" s="24"/>
      <c r="AE1671" s="24"/>
      <c r="AF1671" s="24"/>
      <c r="AG1671" s="24"/>
      <c r="AH1671" s="24"/>
      <c r="AI1671" s="24"/>
      <c r="AJ1671" s="24"/>
    </row>
    <row r="1672" spans="1:36" s="18" customFormat="1" ht="19.5" customHeight="1">
      <c r="A1672" s="463"/>
      <c r="B1672" s="464"/>
      <c r="C1672" s="464"/>
      <c r="D1672" s="464"/>
      <c r="E1672" s="465"/>
      <c r="F1672" s="465"/>
      <c r="G1672" s="465"/>
      <c r="H1672" s="466"/>
      <c r="I1672" s="467"/>
      <c r="J1672" s="467"/>
      <c r="K1672" s="64"/>
      <c r="L1672" s="29"/>
      <c r="M1672" s="82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  <c r="Y1672" s="24"/>
      <c r="Z1672" s="24"/>
      <c r="AA1672" s="24"/>
      <c r="AB1672" s="24"/>
      <c r="AC1672" s="24"/>
      <c r="AD1672" s="24"/>
      <c r="AE1672" s="24"/>
      <c r="AF1672" s="24"/>
      <c r="AG1672" s="24"/>
      <c r="AH1672" s="24"/>
      <c r="AI1672" s="24"/>
      <c r="AJ1672" s="24"/>
    </row>
    <row r="1673" spans="1:36" s="18" customFormat="1" ht="19.5" customHeight="1">
      <c r="A1673" s="463"/>
      <c r="B1673" s="464"/>
      <c r="C1673" s="464"/>
      <c r="D1673" s="464"/>
      <c r="E1673" s="465"/>
      <c r="F1673" s="465"/>
      <c r="G1673" s="465"/>
      <c r="H1673" s="466"/>
      <c r="I1673" s="467"/>
      <c r="J1673" s="467"/>
      <c r="K1673" s="64"/>
      <c r="L1673" s="29"/>
      <c r="M1673" s="82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  <c r="Y1673" s="24"/>
      <c r="Z1673" s="24"/>
      <c r="AA1673" s="24"/>
      <c r="AB1673" s="24"/>
      <c r="AC1673" s="24"/>
      <c r="AD1673" s="24"/>
      <c r="AE1673" s="24"/>
      <c r="AF1673" s="24"/>
      <c r="AG1673" s="24"/>
      <c r="AH1673" s="24"/>
      <c r="AI1673" s="24"/>
      <c r="AJ1673" s="24"/>
    </row>
    <row r="1674" spans="1:36" s="18" customFormat="1" ht="19.5" customHeight="1">
      <c r="A1674" s="463"/>
      <c r="B1674" s="464"/>
      <c r="C1674" s="464"/>
      <c r="D1674" s="464"/>
      <c r="E1674" s="465"/>
      <c r="F1674" s="465"/>
      <c r="G1674" s="465"/>
      <c r="H1674" s="466"/>
      <c r="I1674" s="467"/>
      <c r="J1674" s="467"/>
      <c r="K1674" s="64"/>
      <c r="L1674" s="29"/>
      <c r="M1674" s="82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  <c r="Y1674" s="24"/>
      <c r="Z1674" s="24"/>
      <c r="AA1674" s="24"/>
      <c r="AB1674" s="24"/>
      <c r="AC1674" s="24"/>
      <c r="AD1674" s="24"/>
      <c r="AE1674" s="24"/>
      <c r="AF1674" s="24"/>
      <c r="AG1674" s="24"/>
      <c r="AH1674" s="24"/>
      <c r="AI1674" s="24"/>
      <c r="AJ1674" s="24"/>
    </row>
    <row r="1675" spans="1:36" s="18" customFormat="1" ht="19.5" customHeight="1">
      <c r="A1675" s="463"/>
      <c r="B1675" s="464"/>
      <c r="C1675" s="464"/>
      <c r="D1675" s="464"/>
      <c r="E1675" s="465"/>
      <c r="F1675" s="465"/>
      <c r="G1675" s="465"/>
      <c r="H1675" s="466"/>
      <c r="I1675" s="467"/>
      <c r="J1675" s="467"/>
      <c r="K1675" s="64"/>
      <c r="L1675" s="29"/>
      <c r="M1675" s="82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24"/>
      <c r="AG1675" s="24"/>
      <c r="AH1675" s="24"/>
      <c r="AI1675" s="24"/>
      <c r="AJ1675" s="24"/>
    </row>
    <row r="1676" spans="1:36" s="18" customFormat="1" ht="19.5" customHeight="1">
      <c r="A1676" s="463"/>
      <c r="B1676" s="464"/>
      <c r="C1676" s="464"/>
      <c r="D1676" s="464"/>
      <c r="E1676" s="465"/>
      <c r="F1676" s="465"/>
      <c r="G1676" s="465"/>
      <c r="H1676" s="466"/>
      <c r="I1676" s="467"/>
      <c r="J1676" s="467"/>
      <c r="K1676" s="64"/>
      <c r="L1676" s="29"/>
      <c r="M1676" s="82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X1676" s="24"/>
      <c r="Y1676" s="24"/>
      <c r="Z1676" s="24"/>
      <c r="AA1676" s="24"/>
      <c r="AB1676" s="24"/>
      <c r="AC1676" s="24"/>
      <c r="AD1676" s="24"/>
      <c r="AE1676" s="24"/>
      <c r="AF1676" s="24"/>
      <c r="AG1676" s="24"/>
      <c r="AH1676" s="24"/>
      <c r="AI1676" s="24"/>
      <c r="AJ1676" s="24"/>
    </row>
    <row r="1677" spans="1:36" s="18" customFormat="1" ht="19.5" customHeight="1">
      <c r="A1677" s="463"/>
      <c r="B1677" s="464"/>
      <c r="C1677" s="464"/>
      <c r="D1677" s="464"/>
      <c r="E1677" s="465"/>
      <c r="F1677" s="465"/>
      <c r="G1677" s="465"/>
      <c r="H1677" s="466"/>
      <c r="I1677" s="467"/>
      <c r="J1677" s="467"/>
      <c r="K1677" s="64"/>
      <c r="L1677" s="29"/>
      <c r="M1677" s="82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24"/>
      <c r="AC1677" s="24"/>
      <c r="AD1677" s="24"/>
      <c r="AE1677" s="24"/>
      <c r="AF1677" s="24"/>
      <c r="AG1677" s="24"/>
      <c r="AH1677" s="24"/>
      <c r="AI1677" s="24"/>
      <c r="AJ1677" s="24"/>
    </row>
    <row r="1678" spans="1:36" s="18" customFormat="1" ht="19.5" customHeight="1">
      <c r="A1678" s="463"/>
      <c r="B1678" s="464"/>
      <c r="C1678" s="464"/>
      <c r="D1678" s="464"/>
      <c r="E1678" s="465"/>
      <c r="F1678" s="465"/>
      <c r="G1678" s="465"/>
      <c r="H1678" s="466"/>
      <c r="I1678" s="467"/>
      <c r="J1678" s="467"/>
      <c r="K1678" s="64"/>
      <c r="L1678" s="29"/>
      <c r="M1678" s="82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  <c r="Y1678" s="24"/>
      <c r="Z1678" s="24"/>
      <c r="AA1678" s="24"/>
      <c r="AB1678" s="24"/>
      <c r="AC1678" s="24"/>
      <c r="AD1678" s="24"/>
      <c r="AE1678" s="24"/>
      <c r="AF1678" s="24"/>
      <c r="AG1678" s="24"/>
      <c r="AH1678" s="24"/>
      <c r="AI1678" s="24"/>
      <c r="AJ1678" s="24"/>
    </row>
    <row r="1679" spans="1:36" s="18" customFormat="1" ht="19.5" customHeight="1">
      <c r="A1679" s="463"/>
      <c r="B1679" s="464"/>
      <c r="C1679" s="464"/>
      <c r="D1679" s="464"/>
      <c r="E1679" s="465"/>
      <c r="F1679" s="465"/>
      <c r="G1679" s="465"/>
      <c r="H1679" s="466"/>
      <c r="I1679" s="467"/>
      <c r="J1679" s="467"/>
      <c r="K1679" s="64"/>
      <c r="L1679" s="29"/>
      <c r="M1679" s="82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X1679" s="24"/>
      <c r="Y1679" s="24"/>
      <c r="Z1679" s="24"/>
      <c r="AA1679" s="24"/>
      <c r="AB1679" s="24"/>
      <c r="AC1679" s="24"/>
      <c r="AD1679" s="24"/>
      <c r="AE1679" s="24"/>
      <c r="AF1679" s="24"/>
      <c r="AG1679" s="24"/>
      <c r="AH1679" s="24"/>
      <c r="AI1679" s="24"/>
      <c r="AJ1679" s="24"/>
    </row>
    <row r="1680" spans="1:36" s="18" customFormat="1" ht="19.5" customHeight="1">
      <c r="A1680" s="463"/>
      <c r="B1680" s="464"/>
      <c r="C1680" s="464"/>
      <c r="D1680" s="464"/>
      <c r="E1680" s="465"/>
      <c r="F1680" s="465"/>
      <c r="G1680" s="465"/>
      <c r="H1680" s="466"/>
      <c r="I1680" s="467"/>
      <c r="J1680" s="467"/>
      <c r="K1680" s="64"/>
      <c r="L1680" s="29"/>
      <c r="M1680" s="82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  <c r="Y1680" s="24"/>
      <c r="Z1680" s="24"/>
      <c r="AA1680" s="24"/>
      <c r="AB1680" s="24"/>
      <c r="AC1680" s="24"/>
      <c r="AD1680" s="24"/>
      <c r="AE1680" s="24"/>
      <c r="AF1680" s="24"/>
      <c r="AG1680" s="24"/>
      <c r="AH1680" s="24"/>
      <c r="AI1680" s="24"/>
      <c r="AJ1680" s="24"/>
    </row>
    <row r="1681" spans="1:36" s="18" customFormat="1" ht="19.5" customHeight="1">
      <c r="A1681" s="463"/>
      <c r="B1681" s="464"/>
      <c r="C1681" s="464"/>
      <c r="D1681" s="464"/>
      <c r="E1681" s="465"/>
      <c r="F1681" s="465"/>
      <c r="G1681" s="465"/>
      <c r="H1681" s="466"/>
      <c r="I1681" s="467"/>
      <c r="J1681" s="467"/>
      <c r="K1681" s="64"/>
      <c r="L1681" s="29"/>
      <c r="M1681" s="82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24"/>
      <c r="AG1681" s="24"/>
      <c r="AH1681" s="24"/>
      <c r="AI1681" s="24"/>
      <c r="AJ1681" s="24"/>
    </row>
    <row r="1682" spans="1:36" s="18" customFormat="1" ht="19.5" customHeight="1">
      <c r="A1682" s="463"/>
      <c r="B1682" s="464"/>
      <c r="C1682" s="464"/>
      <c r="D1682" s="464"/>
      <c r="E1682" s="465"/>
      <c r="F1682" s="465"/>
      <c r="G1682" s="465"/>
      <c r="H1682" s="466"/>
      <c r="I1682" s="467"/>
      <c r="J1682" s="467"/>
      <c r="K1682" s="64"/>
      <c r="L1682" s="29"/>
      <c r="M1682" s="82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  <c r="Y1682" s="24"/>
      <c r="Z1682" s="24"/>
      <c r="AA1682" s="24"/>
      <c r="AB1682" s="24"/>
      <c r="AC1682" s="24"/>
      <c r="AD1682" s="24"/>
      <c r="AE1682" s="24"/>
      <c r="AF1682" s="24"/>
      <c r="AG1682" s="24"/>
      <c r="AH1682" s="24"/>
      <c r="AI1682" s="24"/>
      <c r="AJ1682" s="24"/>
    </row>
    <row r="1683" spans="1:36" s="18" customFormat="1" ht="19.5" customHeight="1">
      <c r="A1683" s="463"/>
      <c r="B1683" s="464"/>
      <c r="C1683" s="464"/>
      <c r="D1683" s="464"/>
      <c r="E1683" s="465"/>
      <c r="F1683" s="465"/>
      <c r="G1683" s="465"/>
      <c r="H1683" s="466"/>
      <c r="I1683" s="467"/>
      <c r="J1683" s="467"/>
      <c r="K1683" s="64"/>
      <c r="L1683" s="29"/>
      <c r="M1683" s="82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  <c r="Y1683" s="24"/>
      <c r="Z1683" s="24"/>
      <c r="AA1683" s="24"/>
      <c r="AB1683" s="24"/>
      <c r="AC1683" s="24"/>
      <c r="AD1683" s="24"/>
      <c r="AE1683" s="24"/>
      <c r="AF1683" s="24"/>
      <c r="AG1683" s="24"/>
      <c r="AH1683" s="24"/>
      <c r="AI1683" s="24"/>
      <c r="AJ1683" s="24"/>
    </row>
    <row r="1684" spans="1:36" s="18" customFormat="1" ht="19.5" customHeight="1">
      <c r="A1684" s="463"/>
      <c r="B1684" s="464"/>
      <c r="C1684" s="464"/>
      <c r="D1684" s="464"/>
      <c r="E1684" s="465"/>
      <c r="F1684" s="465"/>
      <c r="G1684" s="465"/>
      <c r="H1684" s="466"/>
      <c r="I1684" s="467"/>
      <c r="J1684" s="467"/>
      <c r="K1684" s="64"/>
      <c r="L1684" s="29"/>
      <c r="M1684" s="82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  <c r="Y1684" s="24"/>
      <c r="Z1684" s="24"/>
      <c r="AA1684" s="24"/>
      <c r="AB1684" s="24"/>
      <c r="AC1684" s="24"/>
      <c r="AD1684" s="24"/>
      <c r="AE1684" s="24"/>
      <c r="AF1684" s="24"/>
      <c r="AG1684" s="24"/>
      <c r="AH1684" s="24"/>
      <c r="AI1684" s="24"/>
      <c r="AJ1684" s="24"/>
    </row>
    <row r="1685" spans="1:36" s="18" customFormat="1" ht="21.75" customHeight="1">
      <c r="A1685" s="463"/>
      <c r="B1685" s="464"/>
      <c r="C1685" s="464"/>
      <c r="D1685" s="464"/>
      <c r="E1685" s="465"/>
      <c r="F1685" s="465"/>
      <c r="G1685" s="465"/>
      <c r="H1685" s="466"/>
      <c r="I1685" s="467"/>
      <c r="J1685" s="467"/>
      <c r="K1685" s="64"/>
      <c r="L1685" s="29"/>
      <c r="M1685" s="82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24"/>
      <c r="AG1685" s="24"/>
      <c r="AH1685" s="24"/>
      <c r="AI1685" s="24"/>
      <c r="AJ1685" s="24"/>
    </row>
    <row r="1686" spans="1:36" s="18" customFormat="1" ht="19.5" customHeight="1">
      <c r="A1686" s="463"/>
      <c r="B1686" s="464"/>
      <c r="C1686" s="464"/>
      <c r="D1686" s="464"/>
      <c r="E1686" s="465"/>
      <c r="F1686" s="465"/>
      <c r="G1686" s="465"/>
      <c r="H1686" s="466"/>
      <c r="I1686" s="467"/>
      <c r="J1686" s="467"/>
      <c r="K1686" s="64"/>
      <c r="L1686" s="29"/>
      <c r="M1686" s="82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  <c r="Y1686" s="24"/>
      <c r="Z1686" s="24"/>
      <c r="AA1686" s="24"/>
      <c r="AB1686" s="24"/>
      <c r="AC1686" s="24"/>
      <c r="AD1686" s="24"/>
      <c r="AE1686" s="24"/>
      <c r="AF1686" s="24"/>
      <c r="AG1686" s="24"/>
      <c r="AH1686" s="24"/>
      <c r="AI1686" s="24"/>
      <c r="AJ1686" s="24"/>
    </row>
    <row r="1687" spans="1:36" s="18" customFormat="1" ht="19.5" customHeight="1">
      <c r="A1687" s="463"/>
      <c r="B1687" s="464"/>
      <c r="C1687" s="464"/>
      <c r="D1687" s="464"/>
      <c r="E1687" s="465"/>
      <c r="F1687" s="465"/>
      <c r="G1687" s="465"/>
      <c r="H1687" s="466"/>
      <c r="I1687" s="467"/>
      <c r="J1687" s="467"/>
      <c r="K1687" s="64"/>
      <c r="L1687" s="29"/>
      <c r="M1687" s="82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  <c r="Y1687" s="24"/>
      <c r="Z1687" s="24"/>
      <c r="AA1687" s="24"/>
      <c r="AB1687" s="24"/>
      <c r="AC1687" s="24"/>
      <c r="AD1687" s="24"/>
      <c r="AE1687" s="24"/>
      <c r="AF1687" s="24"/>
      <c r="AG1687" s="24"/>
      <c r="AH1687" s="24"/>
      <c r="AI1687" s="24"/>
      <c r="AJ1687" s="24"/>
    </row>
    <row r="1688" spans="1:36" s="18" customFormat="1" ht="19.5" customHeight="1">
      <c r="A1688" s="463"/>
      <c r="B1688" s="464"/>
      <c r="C1688" s="464"/>
      <c r="D1688" s="464"/>
      <c r="E1688" s="465"/>
      <c r="F1688" s="465"/>
      <c r="G1688" s="465"/>
      <c r="H1688" s="466"/>
      <c r="I1688" s="467"/>
      <c r="J1688" s="467"/>
      <c r="K1688" s="64"/>
      <c r="L1688" s="29"/>
      <c r="M1688" s="82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  <c r="Y1688" s="24"/>
      <c r="Z1688" s="24"/>
      <c r="AA1688" s="24"/>
      <c r="AB1688" s="24"/>
      <c r="AC1688" s="24"/>
      <c r="AD1688" s="24"/>
      <c r="AE1688" s="24"/>
      <c r="AF1688" s="24"/>
      <c r="AG1688" s="24"/>
      <c r="AH1688" s="24"/>
      <c r="AI1688" s="24"/>
      <c r="AJ1688" s="24"/>
    </row>
    <row r="1689" spans="1:36" s="18" customFormat="1" ht="19.5" customHeight="1">
      <c r="A1689" s="463"/>
      <c r="B1689" s="464"/>
      <c r="C1689" s="464"/>
      <c r="D1689" s="464"/>
      <c r="E1689" s="465"/>
      <c r="F1689" s="465"/>
      <c r="G1689" s="465"/>
      <c r="H1689" s="466"/>
      <c r="I1689" s="467"/>
      <c r="J1689" s="467"/>
      <c r="K1689" s="64"/>
      <c r="L1689" s="29"/>
      <c r="M1689" s="82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  <c r="Y1689" s="24"/>
      <c r="Z1689" s="24"/>
      <c r="AA1689" s="24"/>
      <c r="AB1689" s="24"/>
      <c r="AC1689" s="24"/>
      <c r="AD1689" s="24"/>
      <c r="AE1689" s="24"/>
      <c r="AF1689" s="24"/>
      <c r="AG1689" s="24"/>
      <c r="AH1689" s="24"/>
      <c r="AI1689" s="24"/>
      <c r="AJ1689" s="24"/>
    </row>
    <row r="1690" spans="1:36" s="18" customFormat="1" ht="19.5" customHeight="1">
      <c r="A1690" s="463"/>
      <c r="B1690" s="464"/>
      <c r="C1690" s="464"/>
      <c r="D1690" s="464"/>
      <c r="E1690" s="465"/>
      <c r="F1690" s="465"/>
      <c r="G1690" s="465"/>
      <c r="H1690" s="466"/>
      <c r="I1690" s="467"/>
      <c r="J1690" s="467"/>
      <c r="K1690" s="64"/>
      <c r="L1690" s="29"/>
      <c r="M1690" s="82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  <c r="Y1690" s="24"/>
      <c r="Z1690" s="24"/>
      <c r="AA1690" s="24"/>
      <c r="AB1690" s="24"/>
      <c r="AC1690" s="24"/>
      <c r="AD1690" s="24"/>
      <c r="AE1690" s="24"/>
      <c r="AF1690" s="24"/>
      <c r="AG1690" s="24"/>
      <c r="AH1690" s="24"/>
      <c r="AI1690" s="24"/>
      <c r="AJ1690" s="24"/>
    </row>
    <row r="1691" spans="1:36" s="18" customFormat="1" ht="19.5" customHeight="1">
      <c r="A1691" s="463"/>
      <c r="B1691" s="464"/>
      <c r="C1691" s="464"/>
      <c r="D1691" s="464"/>
      <c r="E1691" s="465"/>
      <c r="F1691" s="465"/>
      <c r="G1691" s="465"/>
      <c r="H1691" s="466"/>
      <c r="I1691" s="467"/>
      <c r="J1691" s="467"/>
      <c r="K1691" s="64"/>
      <c r="L1691" s="29"/>
      <c r="M1691" s="82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X1691" s="24"/>
      <c r="Y1691" s="24"/>
      <c r="Z1691" s="24"/>
      <c r="AA1691" s="24"/>
      <c r="AB1691" s="24"/>
      <c r="AC1691" s="24"/>
      <c r="AD1691" s="24"/>
      <c r="AE1691" s="24"/>
      <c r="AF1691" s="24"/>
      <c r="AG1691" s="24"/>
      <c r="AH1691" s="24"/>
      <c r="AI1691" s="24"/>
      <c r="AJ1691" s="24"/>
    </row>
    <row r="1692" spans="1:36" s="18" customFormat="1" ht="19.5" customHeight="1">
      <c r="A1692" s="463"/>
      <c r="B1692" s="464"/>
      <c r="C1692" s="464"/>
      <c r="D1692" s="464"/>
      <c r="E1692" s="465"/>
      <c r="F1692" s="465"/>
      <c r="G1692" s="465"/>
      <c r="H1692" s="466"/>
      <c r="I1692" s="467"/>
      <c r="J1692" s="467"/>
      <c r="K1692" s="64"/>
      <c r="L1692" s="29"/>
      <c r="M1692" s="82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  <c r="Y1692" s="24"/>
      <c r="Z1692" s="24"/>
      <c r="AA1692" s="24"/>
      <c r="AB1692" s="24"/>
      <c r="AC1692" s="24"/>
      <c r="AD1692" s="24"/>
      <c r="AE1692" s="24"/>
      <c r="AF1692" s="24"/>
      <c r="AG1692" s="24"/>
      <c r="AH1692" s="24"/>
      <c r="AI1692" s="24"/>
      <c r="AJ1692" s="24"/>
    </row>
    <row r="1693" spans="1:36" s="18" customFormat="1" ht="19.5" customHeight="1">
      <c r="A1693" s="463"/>
      <c r="B1693" s="464"/>
      <c r="C1693" s="464"/>
      <c r="D1693" s="464"/>
      <c r="E1693" s="465"/>
      <c r="F1693" s="465"/>
      <c r="G1693" s="465"/>
      <c r="H1693" s="466"/>
      <c r="I1693" s="467"/>
      <c r="J1693" s="467"/>
      <c r="K1693" s="64"/>
      <c r="L1693" s="29"/>
      <c r="M1693" s="82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  <c r="Y1693" s="24"/>
      <c r="Z1693" s="24"/>
      <c r="AA1693" s="24"/>
      <c r="AB1693" s="24"/>
      <c r="AC1693" s="24"/>
      <c r="AD1693" s="24"/>
      <c r="AE1693" s="24"/>
      <c r="AF1693" s="24"/>
      <c r="AG1693" s="24"/>
      <c r="AH1693" s="24"/>
      <c r="AI1693" s="24"/>
      <c r="AJ1693" s="24"/>
    </row>
    <row r="1694" spans="1:36" s="18" customFormat="1" ht="19.5" customHeight="1">
      <c r="A1694" s="463"/>
      <c r="B1694" s="464"/>
      <c r="C1694" s="464"/>
      <c r="D1694" s="464"/>
      <c r="E1694" s="465"/>
      <c r="F1694" s="465"/>
      <c r="G1694" s="465"/>
      <c r="H1694" s="466"/>
      <c r="I1694" s="467"/>
      <c r="J1694" s="467"/>
      <c r="K1694" s="64"/>
      <c r="L1694" s="29"/>
      <c r="M1694" s="82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X1694" s="24"/>
      <c r="Y1694" s="24"/>
      <c r="Z1694" s="24"/>
      <c r="AA1694" s="24"/>
      <c r="AB1694" s="24"/>
      <c r="AC1694" s="24"/>
      <c r="AD1694" s="24"/>
      <c r="AE1694" s="24"/>
      <c r="AF1694" s="24"/>
      <c r="AG1694" s="24"/>
      <c r="AH1694" s="24"/>
      <c r="AI1694" s="24"/>
      <c r="AJ1694" s="24"/>
    </row>
    <row r="1695" spans="1:36" s="18" customFormat="1" ht="19.5" customHeight="1">
      <c r="A1695" s="463"/>
      <c r="B1695" s="464"/>
      <c r="C1695" s="464"/>
      <c r="D1695" s="464"/>
      <c r="E1695" s="465"/>
      <c r="F1695" s="465"/>
      <c r="G1695" s="465"/>
      <c r="H1695" s="466"/>
      <c r="I1695" s="467"/>
      <c r="J1695" s="467"/>
      <c r="K1695" s="64"/>
      <c r="L1695" s="29"/>
      <c r="M1695" s="82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24"/>
      <c r="AG1695" s="24"/>
      <c r="AH1695" s="24"/>
      <c r="AI1695" s="24"/>
      <c r="AJ1695" s="24"/>
    </row>
    <row r="1696" spans="1:36" s="18" customFormat="1" ht="19.5" customHeight="1">
      <c r="A1696" s="463"/>
      <c r="B1696" s="464"/>
      <c r="C1696" s="464"/>
      <c r="D1696" s="464"/>
      <c r="E1696" s="465"/>
      <c r="F1696" s="465"/>
      <c r="G1696" s="465"/>
      <c r="H1696" s="466"/>
      <c r="I1696" s="467"/>
      <c r="J1696" s="467"/>
      <c r="K1696" s="64"/>
      <c r="L1696" s="29"/>
      <c r="M1696" s="82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  <c r="Y1696" s="24"/>
      <c r="Z1696" s="24"/>
      <c r="AA1696" s="24"/>
      <c r="AB1696" s="24"/>
      <c r="AC1696" s="24"/>
      <c r="AD1696" s="24"/>
      <c r="AE1696" s="24"/>
      <c r="AF1696" s="24"/>
      <c r="AG1696" s="24"/>
      <c r="AH1696" s="24"/>
      <c r="AI1696" s="24"/>
      <c r="AJ1696" s="24"/>
    </row>
    <row r="1697" spans="1:36" s="18" customFormat="1" ht="19.5" customHeight="1">
      <c r="A1697" s="463"/>
      <c r="B1697" s="464"/>
      <c r="C1697" s="464"/>
      <c r="D1697" s="464"/>
      <c r="E1697" s="465"/>
      <c r="F1697" s="465"/>
      <c r="G1697" s="465"/>
      <c r="H1697" s="466"/>
      <c r="I1697" s="467"/>
      <c r="J1697" s="467"/>
      <c r="K1697" s="64"/>
      <c r="L1697" s="29"/>
      <c r="M1697" s="82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24"/>
      <c r="AG1697" s="24"/>
      <c r="AH1697" s="24"/>
      <c r="AI1697" s="24"/>
      <c r="AJ1697" s="24"/>
    </row>
    <row r="1698" spans="1:36" s="18" customFormat="1" ht="19.5" customHeight="1">
      <c r="A1698" s="463"/>
      <c r="B1698" s="464"/>
      <c r="C1698" s="464"/>
      <c r="D1698" s="464"/>
      <c r="E1698" s="465"/>
      <c r="F1698" s="465"/>
      <c r="G1698" s="465"/>
      <c r="H1698" s="466"/>
      <c r="I1698" s="467"/>
      <c r="J1698" s="467"/>
      <c r="K1698" s="64"/>
      <c r="L1698" s="29"/>
      <c r="M1698" s="82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  <c r="Y1698" s="24"/>
      <c r="Z1698" s="24"/>
      <c r="AA1698" s="24"/>
      <c r="AB1698" s="24"/>
      <c r="AC1698" s="24"/>
      <c r="AD1698" s="24"/>
      <c r="AE1698" s="24"/>
      <c r="AF1698" s="24"/>
      <c r="AG1698" s="24"/>
      <c r="AH1698" s="24"/>
      <c r="AI1698" s="24"/>
      <c r="AJ1698" s="24"/>
    </row>
    <row r="1699" spans="1:36" s="18" customFormat="1" ht="19.5" customHeight="1">
      <c r="A1699" s="463"/>
      <c r="B1699" s="464"/>
      <c r="C1699" s="464"/>
      <c r="D1699" s="464"/>
      <c r="E1699" s="465"/>
      <c r="F1699" s="465"/>
      <c r="G1699" s="465"/>
      <c r="H1699" s="466"/>
      <c r="I1699" s="467"/>
      <c r="J1699" s="467"/>
      <c r="K1699" s="64"/>
      <c r="L1699" s="29"/>
      <c r="M1699" s="82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  <c r="Y1699" s="24"/>
      <c r="Z1699" s="24"/>
      <c r="AA1699" s="24"/>
      <c r="AB1699" s="24"/>
      <c r="AC1699" s="24"/>
      <c r="AD1699" s="24"/>
      <c r="AE1699" s="24"/>
      <c r="AF1699" s="24"/>
      <c r="AG1699" s="24"/>
      <c r="AH1699" s="24"/>
      <c r="AI1699" s="24"/>
      <c r="AJ1699" s="24"/>
    </row>
    <row r="1700" spans="1:36" s="18" customFormat="1" ht="24.75" customHeight="1">
      <c r="A1700" s="463"/>
      <c r="B1700" s="464"/>
      <c r="C1700" s="464"/>
      <c r="D1700" s="464"/>
      <c r="E1700" s="465"/>
      <c r="F1700" s="465"/>
      <c r="G1700" s="465"/>
      <c r="H1700" s="466"/>
      <c r="I1700" s="467"/>
      <c r="J1700" s="467"/>
      <c r="K1700" s="64"/>
      <c r="L1700" s="29"/>
      <c r="M1700" s="82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X1700" s="24"/>
      <c r="Y1700" s="24"/>
      <c r="Z1700" s="24"/>
      <c r="AA1700" s="24"/>
      <c r="AB1700" s="24"/>
      <c r="AC1700" s="24"/>
      <c r="AD1700" s="24"/>
      <c r="AE1700" s="24"/>
      <c r="AF1700" s="24"/>
      <c r="AG1700" s="24"/>
      <c r="AH1700" s="24"/>
      <c r="AI1700" s="24"/>
      <c r="AJ1700" s="24"/>
    </row>
    <row r="1701" spans="1:36" s="18" customFormat="1" ht="19.5" customHeight="1">
      <c r="A1701" s="463"/>
      <c r="B1701" s="464"/>
      <c r="C1701" s="464"/>
      <c r="D1701" s="464"/>
      <c r="E1701" s="465"/>
      <c r="F1701" s="465"/>
      <c r="G1701" s="465"/>
      <c r="H1701" s="466"/>
      <c r="I1701" s="467"/>
      <c r="J1701" s="467"/>
      <c r="K1701" s="64"/>
      <c r="L1701" s="29"/>
      <c r="M1701" s="82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  <c r="Y1701" s="24"/>
      <c r="Z1701" s="24"/>
      <c r="AA1701" s="24"/>
      <c r="AB1701" s="24"/>
      <c r="AC1701" s="24"/>
      <c r="AD1701" s="24"/>
      <c r="AE1701" s="24"/>
      <c r="AF1701" s="24"/>
      <c r="AG1701" s="24"/>
      <c r="AH1701" s="24"/>
      <c r="AI1701" s="24"/>
      <c r="AJ1701" s="24"/>
    </row>
    <row r="1702" spans="1:36" s="18" customFormat="1" ht="19.5" customHeight="1">
      <c r="A1702" s="463"/>
      <c r="B1702" s="464"/>
      <c r="C1702" s="464"/>
      <c r="D1702" s="464"/>
      <c r="E1702" s="465"/>
      <c r="F1702" s="465"/>
      <c r="G1702" s="465"/>
      <c r="H1702" s="466"/>
      <c r="I1702" s="467"/>
      <c r="J1702" s="467"/>
      <c r="K1702" s="64"/>
      <c r="L1702" s="29"/>
      <c r="M1702" s="82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  <c r="Y1702" s="24"/>
      <c r="Z1702" s="24"/>
      <c r="AA1702" s="24"/>
      <c r="AB1702" s="24"/>
      <c r="AC1702" s="24"/>
      <c r="AD1702" s="24"/>
      <c r="AE1702" s="24"/>
      <c r="AF1702" s="24"/>
      <c r="AG1702" s="24"/>
      <c r="AH1702" s="24"/>
      <c r="AI1702" s="24"/>
      <c r="AJ1702" s="24"/>
    </row>
    <row r="1703" spans="1:36" s="18" customFormat="1" ht="19.5" customHeight="1">
      <c r="A1703" s="463"/>
      <c r="B1703" s="464"/>
      <c r="C1703" s="464"/>
      <c r="D1703" s="464"/>
      <c r="E1703" s="465"/>
      <c r="F1703" s="465"/>
      <c r="G1703" s="465"/>
      <c r="H1703" s="466"/>
      <c r="I1703" s="467"/>
      <c r="J1703" s="467"/>
      <c r="K1703" s="64"/>
      <c r="L1703" s="29"/>
      <c r="M1703" s="82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  <c r="Y1703" s="24"/>
      <c r="Z1703" s="24"/>
      <c r="AA1703" s="24"/>
      <c r="AB1703" s="24"/>
      <c r="AC1703" s="24"/>
      <c r="AD1703" s="24"/>
      <c r="AE1703" s="24"/>
      <c r="AF1703" s="24"/>
      <c r="AG1703" s="24"/>
      <c r="AH1703" s="24"/>
      <c r="AI1703" s="24"/>
      <c r="AJ1703" s="24"/>
    </row>
    <row r="1704" spans="1:36" s="18" customFormat="1" ht="19.5" customHeight="1">
      <c r="A1704" s="463"/>
      <c r="B1704" s="464"/>
      <c r="C1704" s="464"/>
      <c r="D1704" s="464"/>
      <c r="E1704" s="465"/>
      <c r="F1704" s="465"/>
      <c r="G1704" s="465"/>
      <c r="H1704" s="466"/>
      <c r="I1704" s="467"/>
      <c r="J1704" s="467"/>
      <c r="K1704" s="64"/>
      <c r="L1704" s="29"/>
      <c r="M1704" s="82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  <c r="Y1704" s="24"/>
      <c r="Z1704" s="24"/>
      <c r="AA1704" s="24"/>
      <c r="AB1704" s="24"/>
      <c r="AC1704" s="24"/>
      <c r="AD1704" s="24"/>
      <c r="AE1704" s="24"/>
      <c r="AF1704" s="24"/>
      <c r="AG1704" s="24"/>
      <c r="AH1704" s="24"/>
      <c r="AI1704" s="24"/>
      <c r="AJ1704" s="24"/>
    </row>
    <row r="1705" spans="1:36" s="18" customFormat="1" ht="19.5" customHeight="1">
      <c r="A1705" s="463"/>
      <c r="B1705" s="464"/>
      <c r="C1705" s="464"/>
      <c r="D1705" s="464"/>
      <c r="E1705" s="465"/>
      <c r="F1705" s="465"/>
      <c r="G1705" s="465"/>
      <c r="H1705" s="466"/>
      <c r="I1705" s="467"/>
      <c r="J1705" s="467"/>
      <c r="K1705" s="64"/>
      <c r="L1705" s="29"/>
      <c r="M1705" s="82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24"/>
      <c r="AG1705" s="24"/>
      <c r="AH1705" s="24"/>
      <c r="AI1705" s="24"/>
      <c r="AJ1705" s="24"/>
    </row>
    <row r="1706" spans="1:36" s="18" customFormat="1" ht="19.5" customHeight="1">
      <c r="A1706" s="463"/>
      <c r="B1706" s="464"/>
      <c r="C1706" s="464"/>
      <c r="D1706" s="464"/>
      <c r="E1706" s="465"/>
      <c r="F1706" s="465"/>
      <c r="G1706" s="465"/>
      <c r="H1706" s="466"/>
      <c r="I1706" s="467"/>
      <c r="J1706" s="467"/>
      <c r="K1706" s="64"/>
      <c r="L1706" s="29"/>
      <c r="M1706" s="82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X1706" s="24"/>
      <c r="Y1706" s="24"/>
      <c r="Z1706" s="24"/>
      <c r="AA1706" s="24"/>
      <c r="AB1706" s="24"/>
      <c r="AC1706" s="24"/>
      <c r="AD1706" s="24"/>
      <c r="AE1706" s="24"/>
      <c r="AF1706" s="24"/>
      <c r="AG1706" s="24"/>
      <c r="AH1706" s="24"/>
      <c r="AI1706" s="24"/>
      <c r="AJ1706" s="24"/>
    </row>
    <row r="1707" spans="1:36" s="18" customFormat="1" ht="19.5" customHeight="1">
      <c r="A1707" s="463"/>
      <c r="B1707" s="464"/>
      <c r="C1707" s="464"/>
      <c r="D1707" s="464"/>
      <c r="E1707" s="465"/>
      <c r="F1707" s="465"/>
      <c r="G1707" s="465"/>
      <c r="H1707" s="466"/>
      <c r="I1707" s="467"/>
      <c r="J1707" s="467"/>
      <c r="K1707" s="64"/>
      <c r="L1707" s="29"/>
      <c r="M1707" s="82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  <c r="Y1707" s="24"/>
      <c r="Z1707" s="24"/>
      <c r="AA1707" s="24"/>
      <c r="AB1707" s="24"/>
      <c r="AC1707" s="24"/>
      <c r="AD1707" s="24"/>
      <c r="AE1707" s="24"/>
      <c r="AF1707" s="24"/>
      <c r="AG1707" s="24"/>
      <c r="AH1707" s="24"/>
      <c r="AI1707" s="24"/>
      <c r="AJ1707" s="24"/>
    </row>
    <row r="1708" spans="1:36" s="18" customFormat="1" ht="19.5" customHeight="1">
      <c r="A1708" s="463"/>
      <c r="B1708" s="464"/>
      <c r="C1708" s="464"/>
      <c r="D1708" s="464"/>
      <c r="E1708" s="465"/>
      <c r="F1708" s="465"/>
      <c r="G1708" s="465"/>
      <c r="H1708" s="466"/>
      <c r="I1708" s="467"/>
      <c r="J1708" s="467"/>
      <c r="K1708" s="64"/>
      <c r="L1708" s="29"/>
      <c r="M1708" s="82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24"/>
      <c r="AC1708" s="24"/>
      <c r="AD1708" s="24"/>
      <c r="AE1708" s="24"/>
      <c r="AF1708" s="24"/>
      <c r="AG1708" s="24"/>
      <c r="AH1708" s="24"/>
      <c r="AI1708" s="24"/>
      <c r="AJ1708" s="24"/>
    </row>
    <row r="1709" spans="1:36" s="18" customFormat="1" ht="19.5" customHeight="1">
      <c r="A1709" s="463"/>
      <c r="B1709" s="464"/>
      <c r="C1709" s="464"/>
      <c r="D1709" s="464"/>
      <c r="E1709" s="465"/>
      <c r="F1709" s="465"/>
      <c r="G1709" s="465"/>
      <c r="H1709" s="466"/>
      <c r="I1709" s="467"/>
      <c r="J1709" s="467"/>
      <c r="K1709" s="64"/>
      <c r="L1709" s="29"/>
      <c r="M1709" s="82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X1709" s="24"/>
      <c r="Y1709" s="24"/>
      <c r="Z1709" s="24"/>
      <c r="AA1709" s="24"/>
      <c r="AB1709" s="24"/>
      <c r="AC1709" s="24"/>
      <c r="AD1709" s="24"/>
      <c r="AE1709" s="24"/>
      <c r="AF1709" s="24"/>
      <c r="AG1709" s="24"/>
      <c r="AH1709" s="24"/>
      <c r="AI1709" s="24"/>
      <c r="AJ1709" s="24"/>
    </row>
    <row r="1710" spans="1:36" s="18" customFormat="1" ht="19.5" customHeight="1">
      <c r="A1710" s="463"/>
      <c r="B1710" s="464"/>
      <c r="C1710" s="464"/>
      <c r="D1710" s="464"/>
      <c r="E1710" s="465"/>
      <c r="F1710" s="465"/>
      <c r="G1710" s="465"/>
      <c r="H1710" s="466"/>
      <c r="I1710" s="467"/>
      <c r="J1710" s="467"/>
      <c r="K1710" s="64"/>
      <c r="L1710" s="29"/>
      <c r="M1710" s="82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  <c r="Y1710" s="24"/>
      <c r="Z1710" s="24"/>
      <c r="AA1710" s="24"/>
      <c r="AB1710" s="24"/>
      <c r="AC1710" s="24"/>
      <c r="AD1710" s="24"/>
      <c r="AE1710" s="24"/>
      <c r="AF1710" s="24"/>
      <c r="AG1710" s="24"/>
      <c r="AH1710" s="24"/>
      <c r="AI1710" s="24"/>
      <c r="AJ1710" s="24"/>
    </row>
    <row r="1711" spans="1:36" s="18" customFormat="1" ht="19.5" customHeight="1">
      <c r="A1711" s="463"/>
      <c r="B1711" s="464"/>
      <c r="C1711" s="464"/>
      <c r="D1711" s="464"/>
      <c r="E1711" s="465"/>
      <c r="F1711" s="465"/>
      <c r="G1711" s="465"/>
      <c r="H1711" s="466"/>
      <c r="I1711" s="467"/>
      <c r="J1711" s="467"/>
      <c r="K1711" s="64"/>
      <c r="L1711" s="29"/>
      <c r="M1711" s="82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  <c r="Y1711" s="24"/>
      <c r="Z1711" s="24"/>
      <c r="AA1711" s="24"/>
      <c r="AB1711" s="24"/>
      <c r="AC1711" s="24"/>
      <c r="AD1711" s="24"/>
      <c r="AE1711" s="24"/>
      <c r="AF1711" s="24"/>
      <c r="AG1711" s="24"/>
      <c r="AH1711" s="24"/>
      <c r="AI1711" s="24"/>
      <c r="AJ1711" s="24"/>
    </row>
    <row r="1712" spans="1:36" s="18" customFormat="1" ht="19.5" customHeight="1">
      <c r="A1712" s="463"/>
      <c r="B1712" s="464"/>
      <c r="C1712" s="464"/>
      <c r="D1712" s="464"/>
      <c r="E1712" s="465"/>
      <c r="F1712" s="465"/>
      <c r="G1712" s="465"/>
      <c r="H1712" s="466"/>
      <c r="I1712" s="467"/>
      <c r="J1712" s="467"/>
      <c r="K1712" s="64"/>
      <c r="L1712" s="29"/>
      <c r="M1712" s="82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X1712" s="24"/>
      <c r="Y1712" s="24"/>
      <c r="Z1712" s="24"/>
      <c r="AA1712" s="24"/>
      <c r="AB1712" s="24"/>
      <c r="AC1712" s="24"/>
      <c r="AD1712" s="24"/>
      <c r="AE1712" s="24"/>
      <c r="AF1712" s="24"/>
      <c r="AG1712" s="24"/>
      <c r="AH1712" s="24"/>
      <c r="AI1712" s="24"/>
      <c r="AJ1712" s="24"/>
    </row>
    <row r="1713" spans="1:36" s="18" customFormat="1" ht="19.5" customHeight="1">
      <c r="A1713" s="463"/>
      <c r="B1713" s="464"/>
      <c r="C1713" s="464"/>
      <c r="D1713" s="464"/>
      <c r="E1713" s="465"/>
      <c r="F1713" s="465"/>
      <c r="G1713" s="465"/>
      <c r="H1713" s="466"/>
      <c r="I1713" s="467"/>
      <c r="J1713" s="467"/>
      <c r="K1713" s="64"/>
      <c r="L1713" s="29"/>
      <c r="M1713" s="82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  <c r="Y1713" s="24"/>
      <c r="Z1713" s="24"/>
      <c r="AA1713" s="24"/>
      <c r="AB1713" s="24"/>
      <c r="AC1713" s="24"/>
      <c r="AD1713" s="24"/>
      <c r="AE1713" s="24"/>
      <c r="AF1713" s="24"/>
      <c r="AG1713" s="24"/>
      <c r="AH1713" s="24"/>
      <c r="AI1713" s="24"/>
      <c r="AJ1713" s="24"/>
    </row>
    <row r="1714" spans="1:36" s="18" customFormat="1" ht="19.5" customHeight="1">
      <c r="A1714" s="463"/>
      <c r="B1714" s="464"/>
      <c r="C1714" s="464"/>
      <c r="D1714" s="464"/>
      <c r="E1714" s="465"/>
      <c r="F1714" s="465"/>
      <c r="G1714" s="465"/>
      <c r="H1714" s="466"/>
      <c r="I1714" s="467"/>
      <c r="J1714" s="467"/>
      <c r="K1714" s="64"/>
      <c r="L1714" s="29"/>
      <c r="M1714" s="82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  <c r="Y1714" s="24"/>
      <c r="Z1714" s="24"/>
      <c r="AA1714" s="24"/>
      <c r="AB1714" s="24"/>
      <c r="AC1714" s="24"/>
      <c r="AD1714" s="24"/>
      <c r="AE1714" s="24"/>
      <c r="AF1714" s="24"/>
      <c r="AG1714" s="24"/>
      <c r="AH1714" s="24"/>
      <c r="AI1714" s="24"/>
      <c r="AJ1714" s="24"/>
    </row>
    <row r="1715" spans="1:36" s="18" customFormat="1" ht="19.5" customHeight="1">
      <c r="A1715" s="463"/>
      <c r="B1715" s="464"/>
      <c r="C1715" s="464"/>
      <c r="D1715" s="464"/>
      <c r="E1715" s="465"/>
      <c r="F1715" s="465"/>
      <c r="G1715" s="465"/>
      <c r="H1715" s="466"/>
      <c r="I1715" s="467"/>
      <c r="J1715" s="467"/>
      <c r="K1715" s="64"/>
      <c r="L1715" s="29"/>
      <c r="M1715" s="82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X1715" s="24"/>
      <c r="Y1715" s="24"/>
      <c r="Z1715" s="24"/>
      <c r="AA1715" s="24"/>
      <c r="AB1715" s="24"/>
      <c r="AC1715" s="24"/>
      <c r="AD1715" s="24"/>
      <c r="AE1715" s="24"/>
      <c r="AF1715" s="24"/>
      <c r="AG1715" s="24"/>
      <c r="AH1715" s="24"/>
      <c r="AI1715" s="24"/>
      <c r="AJ1715" s="24"/>
    </row>
    <row r="1716" spans="1:36" s="18" customFormat="1" ht="19.5" customHeight="1">
      <c r="A1716" s="463"/>
      <c r="B1716" s="464"/>
      <c r="C1716" s="464"/>
      <c r="D1716" s="464"/>
      <c r="E1716" s="465"/>
      <c r="F1716" s="465"/>
      <c r="G1716" s="465"/>
      <c r="H1716" s="466"/>
      <c r="I1716" s="467"/>
      <c r="J1716" s="467"/>
      <c r="K1716" s="64"/>
      <c r="L1716" s="29"/>
      <c r="M1716" s="82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24"/>
      <c r="AE1716" s="24"/>
      <c r="AF1716" s="24"/>
      <c r="AG1716" s="24"/>
      <c r="AH1716" s="24"/>
      <c r="AI1716" s="24"/>
      <c r="AJ1716" s="24"/>
    </row>
    <row r="1717" spans="1:36" s="18" customFormat="1" ht="19.5" customHeight="1">
      <c r="A1717" s="463"/>
      <c r="B1717" s="464"/>
      <c r="C1717" s="464"/>
      <c r="D1717" s="464"/>
      <c r="E1717" s="465"/>
      <c r="F1717" s="465"/>
      <c r="G1717" s="465"/>
      <c r="H1717" s="466"/>
      <c r="I1717" s="467"/>
      <c r="J1717" s="467"/>
      <c r="K1717" s="64"/>
      <c r="L1717" s="29"/>
      <c r="M1717" s="82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24"/>
      <c r="AC1717" s="24"/>
      <c r="AD1717" s="24"/>
      <c r="AE1717" s="24"/>
      <c r="AF1717" s="24"/>
      <c r="AG1717" s="24"/>
      <c r="AH1717" s="24"/>
      <c r="AI1717" s="24"/>
      <c r="AJ1717" s="24"/>
    </row>
    <row r="1718" spans="1:36" s="18" customFormat="1" ht="19.5" customHeight="1">
      <c r="A1718" s="463"/>
      <c r="B1718" s="464"/>
      <c r="C1718" s="464"/>
      <c r="D1718" s="464"/>
      <c r="E1718" s="465"/>
      <c r="F1718" s="465"/>
      <c r="G1718" s="465"/>
      <c r="H1718" s="466"/>
      <c r="I1718" s="467"/>
      <c r="J1718" s="467"/>
      <c r="K1718" s="64"/>
      <c r="L1718" s="29"/>
      <c r="M1718" s="82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X1718" s="24"/>
      <c r="Y1718" s="24"/>
      <c r="Z1718" s="24"/>
      <c r="AA1718" s="24"/>
      <c r="AB1718" s="24"/>
      <c r="AC1718" s="24"/>
      <c r="AD1718" s="24"/>
      <c r="AE1718" s="24"/>
      <c r="AF1718" s="24"/>
      <c r="AG1718" s="24"/>
      <c r="AH1718" s="24"/>
      <c r="AI1718" s="24"/>
      <c r="AJ1718" s="24"/>
    </row>
    <row r="1719" spans="1:36" s="18" customFormat="1" ht="19.5" customHeight="1">
      <c r="A1719" s="463"/>
      <c r="B1719" s="464"/>
      <c r="C1719" s="464"/>
      <c r="D1719" s="464"/>
      <c r="E1719" s="465"/>
      <c r="F1719" s="465"/>
      <c r="G1719" s="465"/>
      <c r="H1719" s="466"/>
      <c r="I1719" s="467"/>
      <c r="J1719" s="467"/>
      <c r="K1719" s="64"/>
      <c r="L1719" s="29"/>
      <c r="M1719" s="82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X1719" s="24"/>
      <c r="Y1719" s="24"/>
      <c r="Z1719" s="24"/>
      <c r="AA1719" s="24"/>
      <c r="AB1719" s="24"/>
      <c r="AC1719" s="24"/>
      <c r="AD1719" s="24"/>
      <c r="AE1719" s="24"/>
      <c r="AF1719" s="24"/>
      <c r="AG1719" s="24"/>
      <c r="AH1719" s="24"/>
      <c r="AI1719" s="24"/>
      <c r="AJ1719" s="24"/>
    </row>
    <row r="1720" spans="1:36" s="18" customFormat="1" ht="19.5" customHeight="1">
      <c r="A1720" s="463"/>
      <c r="B1720" s="464"/>
      <c r="C1720" s="464"/>
      <c r="D1720" s="464"/>
      <c r="E1720" s="465"/>
      <c r="F1720" s="465"/>
      <c r="G1720" s="465"/>
      <c r="H1720" s="466"/>
      <c r="I1720" s="467"/>
      <c r="J1720" s="467"/>
      <c r="K1720" s="64"/>
      <c r="L1720" s="29"/>
      <c r="M1720" s="82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X1720" s="24"/>
      <c r="Y1720" s="24"/>
      <c r="Z1720" s="24"/>
      <c r="AA1720" s="24"/>
      <c r="AB1720" s="24"/>
      <c r="AC1720" s="24"/>
      <c r="AD1720" s="24"/>
      <c r="AE1720" s="24"/>
      <c r="AF1720" s="24"/>
      <c r="AG1720" s="24"/>
      <c r="AH1720" s="24"/>
      <c r="AI1720" s="24"/>
      <c r="AJ1720" s="24"/>
    </row>
    <row r="1721" spans="1:36" s="18" customFormat="1" ht="19.5" customHeight="1">
      <c r="A1721" s="463"/>
      <c r="B1721" s="464"/>
      <c r="C1721" s="464"/>
      <c r="D1721" s="464"/>
      <c r="E1721" s="465"/>
      <c r="F1721" s="465"/>
      <c r="G1721" s="465"/>
      <c r="H1721" s="466"/>
      <c r="I1721" s="467"/>
      <c r="J1721" s="467"/>
      <c r="K1721" s="64"/>
      <c r="L1721" s="29"/>
      <c r="M1721" s="82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X1721" s="24"/>
      <c r="Y1721" s="24"/>
      <c r="Z1721" s="24"/>
      <c r="AA1721" s="24"/>
      <c r="AB1721" s="24"/>
      <c r="AC1721" s="24"/>
      <c r="AD1721" s="24"/>
      <c r="AE1721" s="24"/>
      <c r="AF1721" s="24"/>
      <c r="AG1721" s="24"/>
      <c r="AH1721" s="24"/>
      <c r="AI1721" s="24"/>
      <c r="AJ1721" s="24"/>
    </row>
    <row r="1722" spans="1:36" s="18" customFormat="1" ht="18" customHeight="1">
      <c r="A1722" s="463"/>
      <c r="B1722" s="464"/>
      <c r="C1722" s="464"/>
      <c r="D1722" s="464"/>
      <c r="E1722" s="465"/>
      <c r="F1722" s="465"/>
      <c r="G1722" s="465"/>
      <c r="H1722" s="466"/>
      <c r="I1722" s="467"/>
      <c r="J1722" s="467"/>
      <c r="K1722" s="64"/>
      <c r="L1722" s="29"/>
      <c r="M1722" s="82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  <c r="Y1722" s="24"/>
      <c r="Z1722" s="24"/>
      <c r="AA1722" s="24"/>
      <c r="AB1722" s="24"/>
      <c r="AC1722" s="24"/>
      <c r="AD1722" s="24"/>
      <c r="AE1722" s="24"/>
      <c r="AF1722" s="24"/>
      <c r="AG1722" s="24"/>
      <c r="AH1722" s="24"/>
      <c r="AI1722" s="24"/>
      <c r="AJ1722" s="24"/>
    </row>
    <row r="1723" spans="1:36" s="18" customFormat="1" ht="18" customHeight="1">
      <c r="A1723" s="463"/>
      <c r="B1723" s="464"/>
      <c r="C1723" s="464"/>
      <c r="D1723" s="464"/>
      <c r="E1723" s="465"/>
      <c r="F1723" s="465"/>
      <c r="G1723" s="465"/>
      <c r="H1723" s="466"/>
      <c r="I1723" s="467"/>
      <c r="J1723" s="467"/>
      <c r="K1723" s="64"/>
      <c r="L1723" s="29"/>
      <c r="M1723" s="82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  <c r="Y1723" s="24"/>
      <c r="Z1723" s="24"/>
      <c r="AA1723" s="24"/>
      <c r="AB1723" s="24"/>
      <c r="AC1723" s="24"/>
      <c r="AD1723" s="24"/>
      <c r="AE1723" s="24"/>
      <c r="AF1723" s="24"/>
      <c r="AG1723" s="24"/>
      <c r="AH1723" s="24"/>
      <c r="AI1723" s="24"/>
      <c r="AJ1723" s="24"/>
    </row>
    <row r="1724" spans="1:36" s="18" customFormat="1" ht="18.75" customHeight="1">
      <c r="A1724" s="463"/>
      <c r="B1724" s="464"/>
      <c r="C1724" s="464"/>
      <c r="D1724" s="464"/>
      <c r="E1724" s="465"/>
      <c r="F1724" s="465"/>
      <c r="G1724" s="465"/>
      <c r="H1724" s="466"/>
      <c r="I1724" s="467"/>
      <c r="J1724" s="467"/>
      <c r="K1724" s="64"/>
      <c r="L1724" s="29"/>
      <c r="M1724" s="82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X1724" s="24"/>
      <c r="Y1724" s="24"/>
      <c r="Z1724" s="24"/>
      <c r="AA1724" s="24"/>
      <c r="AB1724" s="24"/>
      <c r="AC1724" s="24"/>
      <c r="AD1724" s="24"/>
      <c r="AE1724" s="24"/>
      <c r="AF1724" s="24"/>
      <c r="AG1724" s="24"/>
      <c r="AH1724" s="24"/>
      <c r="AI1724" s="24"/>
      <c r="AJ1724" s="24"/>
    </row>
    <row r="1725" spans="1:36" s="18" customFormat="1" ht="18.75" customHeight="1">
      <c r="A1725" s="463"/>
      <c r="B1725" s="464"/>
      <c r="C1725" s="464"/>
      <c r="D1725" s="464"/>
      <c r="E1725" s="465"/>
      <c r="F1725" s="465"/>
      <c r="G1725" s="465"/>
      <c r="H1725" s="466"/>
      <c r="I1725" s="467"/>
      <c r="J1725" s="467"/>
      <c r="K1725" s="64"/>
      <c r="L1725" s="29"/>
      <c r="M1725" s="82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24"/>
      <c r="AC1725" s="24"/>
      <c r="AD1725" s="24"/>
      <c r="AE1725" s="24"/>
      <c r="AF1725" s="24"/>
      <c r="AG1725" s="24"/>
      <c r="AH1725" s="24"/>
      <c r="AI1725" s="24"/>
      <c r="AJ1725" s="24"/>
    </row>
    <row r="1726" spans="1:36" s="18" customFormat="1" ht="18.75" customHeight="1">
      <c r="A1726" s="463"/>
      <c r="B1726" s="464"/>
      <c r="C1726" s="464"/>
      <c r="D1726" s="464"/>
      <c r="E1726" s="465"/>
      <c r="F1726" s="465"/>
      <c r="G1726" s="465"/>
      <c r="H1726" s="466"/>
      <c r="I1726" s="467"/>
      <c r="J1726" s="467"/>
      <c r="K1726" s="64"/>
      <c r="L1726" s="29"/>
      <c r="M1726" s="82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  <c r="Y1726" s="24"/>
      <c r="Z1726" s="24"/>
      <c r="AA1726" s="24"/>
      <c r="AB1726" s="24"/>
      <c r="AC1726" s="24"/>
      <c r="AD1726" s="24"/>
      <c r="AE1726" s="24"/>
      <c r="AF1726" s="24"/>
      <c r="AG1726" s="24"/>
      <c r="AH1726" s="24"/>
      <c r="AI1726" s="24"/>
      <c r="AJ1726" s="24"/>
    </row>
    <row r="1727" spans="1:36" s="18" customFormat="1" ht="18.75" customHeight="1">
      <c r="A1727" s="463"/>
      <c r="B1727" s="464"/>
      <c r="C1727" s="464"/>
      <c r="D1727" s="464"/>
      <c r="E1727" s="465"/>
      <c r="F1727" s="465"/>
      <c r="G1727" s="465"/>
      <c r="H1727" s="466"/>
      <c r="I1727" s="467"/>
      <c r="J1727" s="467"/>
      <c r="K1727" s="64"/>
      <c r="L1727" s="29"/>
      <c r="M1727" s="82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  <c r="Y1727" s="24"/>
      <c r="Z1727" s="24"/>
      <c r="AA1727" s="24"/>
      <c r="AB1727" s="24"/>
      <c r="AC1727" s="24"/>
      <c r="AD1727" s="24"/>
      <c r="AE1727" s="24"/>
      <c r="AF1727" s="24"/>
      <c r="AG1727" s="24"/>
      <c r="AH1727" s="24"/>
      <c r="AI1727" s="24"/>
      <c r="AJ1727" s="24"/>
    </row>
    <row r="1728" spans="1:36" s="18" customFormat="1" ht="18.75" customHeight="1">
      <c r="A1728" s="463"/>
      <c r="B1728" s="464"/>
      <c r="C1728" s="464"/>
      <c r="D1728" s="464"/>
      <c r="E1728" s="465"/>
      <c r="F1728" s="465"/>
      <c r="G1728" s="465"/>
      <c r="H1728" s="466"/>
      <c r="I1728" s="467"/>
      <c r="J1728" s="467"/>
      <c r="K1728" s="64"/>
      <c r="L1728" s="29"/>
      <c r="M1728" s="82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X1728" s="24"/>
      <c r="Y1728" s="24"/>
      <c r="Z1728" s="24"/>
      <c r="AA1728" s="24"/>
      <c r="AB1728" s="24"/>
      <c r="AC1728" s="24"/>
      <c r="AD1728" s="24"/>
      <c r="AE1728" s="24"/>
      <c r="AF1728" s="24"/>
      <c r="AG1728" s="24"/>
      <c r="AH1728" s="24"/>
      <c r="AI1728" s="24"/>
      <c r="AJ1728" s="24"/>
    </row>
    <row r="1729" spans="1:36" s="18" customFormat="1" ht="18.75" customHeight="1">
      <c r="A1729" s="463"/>
      <c r="B1729" s="464"/>
      <c r="C1729" s="464"/>
      <c r="D1729" s="464"/>
      <c r="E1729" s="465"/>
      <c r="F1729" s="465"/>
      <c r="G1729" s="465"/>
      <c r="H1729" s="466"/>
      <c r="I1729" s="467"/>
      <c r="J1729" s="467"/>
      <c r="K1729" s="64"/>
      <c r="L1729" s="29"/>
      <c r="M1729" s="82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X1729" s="24"/>
      <c r="Y1729" s="24"/>
      <c r="Z1729" s="24"/>
      <c r="AA1729" s="24"/>
      <c r="AB1729" s="24"/>
      <c r="AC1729" s="24"/>
      <c r="AD1729" s="24"/>
      <c r="AE1729" s="24"/>
      <c r="AF1729" s="24"/>
      <c r="AG1729" s="24"/>
      <c r="AH1729" s="24"/>
      <c r="AI1729" s="24"/>
      <c r="AJ1729" s="24"/>
    </row>
    <row r="1730" spans="1:36" s="18" customFormat="1" ht="18.75" customHeight="1">
      <c r="A1730" s="463"/>
      <c r="B1730" s="464"/>
      <c r="C1730" s="464"/>
      <c r="D1730" s="464"/>
      <c r="E1730" s="465"/>
      <c r="F1730" s="465"/>
      <c r="G1730" s="465"/>
      <c r="H1730" s="466"/>
      <c r="I1730" s="467"/>
      <c r="J1730" s="467"/>
      <c r="K1730" s="64"/>
      <c r="L1730" s="29"/>
      <c r="M1730" s="82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X1730" s="24"/>
      <c r="Y1730" s="24"/>
      <c r="Z1730" s="24"/>
      <c r="AA1730" s="24"/>
      <c r="AB1730" s="24"/>
      <c r="AC1730" s="24"/>
      <c r="AD1730" s="24"/>
      <c r="AE1730" s="24"/>
      <c r="AF1730" s="24"/>
      <c r="AG1730" s="24"/>
      <c r="AH1730" s="24"/>
      <c r="AI1730" s="24"/>
      <c r="AJ1730" s="24"/>
    </row>
    <row r="1731" spans="1:36" s="18" customFormat="1" ht="18.75" customHeight="1">
      <c r="A1731" s="463"/>
      <c r="B1731" s="464"/>
      <c r="C1731" s="464"/>
      <c r="D1731" s="464"/>
      <c r="E1731" s="465"/>
      <c r="F1731" s="465"/>
      <c r="G1731" s="465"/>
      <c r="H1731" s="466"/>
      <c r="I1731" s="467"/>
      <c r="J1731" s="467"/>
      <c r="K1731" s="64"/>
      <c r="L1731" s="29"/>
      <c r="M1731" s="82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X1731" s="24"/>
      <c r="Y1731" s="24"/>
      <c r="Z1731" s="24"/>
      <c r="AA1731" s="24"/>
      <c r="AB1731" s="24"/>
      <c r="AC1731" s="24"/>
      <c r="AD1731" s="24"/>
      <c r="AE1731" s="24"/>
      <c r="AF1731" s="24"/>
      <c r="AG1731" s="24"/>
      <c r="AH1731" s="24"/>
      <c r="AI1731" s="24"/>
      <c r="AJ1731" s="24"/>
    </row>
    <row r="1732" spans="1:36" s="18" customFormat="1" ht="18.75" customHeight="1">
      <c r="A1732" s="463"/>
      <c r="B1732" s="464"/>
      <c r="C1732" s="464"/>
      <c r="D1732" s="464"/>
      <c r="E1732" s="465"/>
      <c r="F1732" s="465"/>
      <c r="G1732" s="465"/>
      <c r="H1732" s="466"/>
      <c r="I1732" s="467"/>
      <c r="J1732" s="467"/>
      <c r="K1732" s="64"/>
      <c r="L1732" s="29"/>
      <c r="M1732" s="82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D1732" s="24"/>
      <c r="AE1732" s="24"/>
      <c r="AF1732" s="24"/>
      <c r="AG1732" s="24"/>
      <c r="AH1732" s="24"/>
      <c r="AI1732" s="24"/>
      <c r="AJ1732" s="24"/>
    </row>
    <row r="1733" spans="1:36" s="18" customFormat="1" ht="18.75" customHeight="1">
      <c r="A1733" s="463"/>
      <c r="B1733" s="464"/>
      <c r="C1733" s="464"/>
      <c r="D1733" s="464"/>
      <c r="E1733" s="465"/>
      <c r="F1733" s="465"/>
      <c r="G1733" s="465"/>
      <c r="H1733" s="466"/>
      <c r="I1733" s="467"/>
      <c r="J1733" s="467"/>
      <c r="K1733" s="64"/>
      <c r="L1733" s="29"/>
      <c r="M1733" s="82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X1733" s="24"/>
      <c r="Y1733" s="24"/>
      <c r="Z1733" s="24"/>
      <c r="AA1733" s="24"/>
      <c r="AB1733" s="24"/>
      <c r="AC1733" s="24"/>
      <c r="AD1733" s="24"/>
      <c r="AE1733" s="24"/>
      <c r="AF1733" s="24"/>
      <c r="AG1733" s="24"/>
      <c r="AH1733" s="24"/>
      <c r="AI1733" s="24"/>
      <c r="AJ1733" s="24"/>
    </row>
    <row r="1734" spans="1:36" s="18" customFormat="1" ht="18.75" customHeight="1">
      <c r="A1734" s="463"/>
      <c r="B1734" s="464"/>
      <c r="C1734" s="464"/>
      <c r="D1734" s="464"/>
      <c r="E1734" s="465"/>
      <c r="F1734" s="465"/>
      <c r="G1734" s="465"/>
      <c r="H1734" s="466"/>
      <c r="I1734" s="467"/>
      <c r="J1734" s="467"/>
      <c r="K1734" s="64"/>
      <c r="L1734" s="29"/>
      <c r="M1734" s="82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X1734" s="24"/>
      <c r="Y1734" s="24"/>
      <c r="Z1734" s="24"/>
      <c r="AA1734" s="24"/>
      <c r="AB1734" s="24"/>
      <c r="AC1734" s="24"/>
      <c r="AD1734" s="24"/>
      <c r="AE1734" s="24"/>
      <c r="AF1734" s="24"/>
      <c r="AG1734" s="24"/>
      <c r="AH1734" s="24"/>
      <c r="AI1734" s="24"/>
      <c r="AJ1734" s="24"/>
    </row>
    <row r="1735" spans="1:36" s="18" customFormat="1" ht="18.75" customHeight="1">
      <c r="A1735" s="463"/>
      <c r="B1735" s="464"/>
      <c r="C1735" s="464"/>
      <c r="D1735" s="464"/>
      <c r="E1735" s="465"/>
      <c r="F1735" s="465"/>
      <c r="G1735" s="465"/>
      <c r="H1735" s="466"/>
      <c r="I1735" s="467"/>
      <c r="J1735" s="467"/>
      <c r="K1735" s="64"/>
      <c r="L1735" s="29"/>
      <c r="M1735" s="82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X1735" s="24"/>
      <c r="Y1735" s="24"/>
      <c r="Z1735" s="24"/>
      <c r="AA1735" s="24"/>
      <c r="AB1735" s="24"/>
      <c r="AC1735" s="24"/>
      <c r="AD1735" s="24"/>
      <c r="AE1735" s="24"/>
      <c r="AF1735" s="24"/>
      <c r="AG1735" s="24"/>
      <c r="AH1735" s="24"/>
      <c r="AI1735" s="24"/>
      <c r="AJ1735" s="24"/>
    </row>
    <row r="1736" spans="1:36" s="18" customFormat="1" ht="18.75" customHeight="1">
      <c r="A1736" s="463"/>
      <c r="B1736" s="464"/>
      <c r="C1736" s="464"/>
      <c r="D1736" s="464"/>
      <c r="E1736" s="465"/>
      <c r="F1736" s="465"/>
      <c r="G1736" s="465"/>
      <c r="H1736" s="466"/>
      <c r="I1736" s="467"/>
      <c r="J1736" s="467"/>
      <c r="K1736" s="64"/>
      <c r="L1736" s="29"/>
      <c r="M1736" s="82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X1736" s="24"/>
      <c r="Y1736" s="24"/>
      <c r="Z1736" s="24"/>
      <c r="AA1736" s="24"/>
      <c r="AB1736" s="24"/>
      <c r="AC1736" s="24"/>
      <c r="AD1736" s="24"/>
      <c r="AE1736" s="24"/>
      <c r="AF1736" s="24"/>
      <c r="AG1736" s="24"/>
      <c r="AH1736" s="24"/>
      <c r="AI1736" s="24"/>
      <c r="AJ1736" s="24"/>
    </row>
    <row r="1737" spans="1:36" s="18" customFormat="1" ht="18.75" customHeight="1">
      <c r="A1737" s="463"/>
      <c r="B1737" s="464"/>
      <c r="C1737" s="464"/>
      <c r="D1737" s="464"/>
      <c r="E1737" s="465"/>
      <c r="F1737" s="465"/>
      <c r="G1737" s="465"/>
      <c r="H1737" s="466"/>
      <c r="I1737" s="467"/>
      <c r="J1737" s="467"/>
      <c r="K1737" s="64"/>
      <c r="L1737" s="29"/>
      <c r="M1737" s="82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  <c r="Y1737" s="24"/>
      <c r="Z1737" s="24"/>
      <c r="AA1737" s="24"/>
      <c r="AB1737" s="24"/>
      <c r="AC1737" s="24"/>
      <c r="AD1737" s="24"/>
      <c r="AE1737" s="24"/>
      <c r="AF1737" s="24"/>
      <c r="AG1737" s="24"/>
      <c r="AH1737" s="24"/>
      <c r="AI1737" s="24"/>
      <c r="AJ1737" s="24"/>
    </row>
    <row r="1738" spans="1:36" s="18" customFormat="1" ht="18.75" customHeight="1">
      <c r="A1738" s="468"/>
      <c r="B1738" s="469" t="e">
        <f>B1557+#REF!+#REF!+B1311+B1222+#REF!+#REF!+#REF!+B1094+B1086+B1053+#REF!+#REF!+#REF!+#REF!+#REF!+B696+#REF!+#REF!+B579+B541+B507+#REF!+#REF!+B143+B66</f>
        <v>#REF!</v>
      </c>
      <c r="C1738" s="470"/>
      <c r="D1738" s="470"/>
      <c r="E1738" s="469"/>
      <c r="F1738" s="469"/>
      <c r="G1738" s="469"/>
      <c r="H1738" s="471"/>
      <c r="I1738" s="467"/>
      <c r="J1738" s="467"/>
      <c r="K1738" s="64"/>
      <c r="L1738" s="29"/>
      <c r="M1738" s="82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  <c r="Y1738" s="24"/>
      <c r="Z1738" s="24"/>
      <c r="AA1738" s="24"/>
      <c r="AB1738" s="24"/>
      <c r="AC1738" s="24"/>
      <c r="AD1738" s="24"/>
      <c r="AE1738" s="24"/>
      <c r="AF1738" s="24"/>
      <c r="AG1738" s="24"/>
      <c r="AH1738" s="24"/>
      <c r="AI1738" s="24"/>
      <c r="AJ1738" s="24"/>
    </row>
    <row r="1739" spans="1:36" s="18" customFormat="1" ht="18.75" customHeight="1">
      <c r="A1739" s="468"/>
      <c r="B1739" s="469" t="e">
        <f>#REF!+#REF!+#REF!+#REF!+#REF!+#REF!+B117+B23</f>
        <v>#REF!</v>
      </c>
      <c r="C1739" s="470"/>
      <c r="D1739" s="470"/>
      <c r="E1739" s="469">
        <f>E607/2</f>
        <v>2.31</v>
      </c>
      <c r="F1739" s="469">
        <f>F607/2</f>
        <v>0.42</v>
      </c>
      <c r="G1739" s="469">
        <f>G607/2</f>
        <v>11.69</v>
      </c>
      <c r="H1739" s="469">
        <f>H607/2</f>
        <v>59.5</v>
      </c>
      <c r="I1739" s="472"/>
      <c r="J1739" s="467"/>
      <c r="K1739" s="64"/>
      <c r="L1739" s="29"/>
      <c r="M1739" s="82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X1739" s="24"/>
      <c r="Y1739" s="24"/>
      <c r="Z1739" s="24"/>
      <c r="AA1739" s="24"/>
      <c r="AB1739" s="24"/>
      <c r="AC1739" s="24"/>
      <c r="AD1739" s="24"/>
      <c r="AE1739" s="24"/>
      <c r="AF1739" s="24"/>
      <c r="AG1739" s="24"/>
      <c r="AH1739" s="24"/>
      <c r="AI1739" s="24"/>
      <c r="AJ1739" s="24"/>
    </row>
    <row r="1740" spans="1:36" s="18" customFormat="1" ht="18.75" customHeight="1">
      <c r="A1740" s="468"/>
      <c r="B1740" s="470"/>
      <c r="C1740" s="470"/>
      <c r="D1740" s="470"/>
      <c r="E1740" s="469"/>
      <c r="F1740" s="469"/>
      <c r="G1740" s="469"/>
      <c r="H1740" s="469"/>
      <c r="I1740" s="472"/>
      <c r="J1740" s="467"/>
      <c r="K1740" s="64"/>
      <c r="L1740" s="29"/>
      <c r="M1740" s="82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  <c r="Y1740" s="24"/>
      <c r="Z1740" s="24"/>
      <c r="AA1740" s="24"/>
      <c r="AB1740" s="24"/>
      <c r="AC1740" s="24"/>
      <c r="AD1740" s="24"/>
      <c r="AE1740" s="24"/>
      <c r="AF1740" s="24"/>
      <c r="AG1740" s="24"/>
      <c r="AH1740" s="24"/>
      <c r="AI1740" s="24"/>
      <c r="AJ1740" s="24"/>
    </row>
    <row r="1741" spans="1:36" s="18" customFormat="1" ht="18.75" customHeight="1">
      <c r="A1741" s="468"/>
      <c r="B1741" s="470"/>
      <c r="C1741" s="473"/>
      <c r="D1741" s="470"/>
      <c r="E1741" s="469">
        <f>E1066*70/80</f>
        <v>0.7875</v>
      </c>
      <c r="F1741" s="469">
        <f>F1066*70/80</f>
        <v>4.375</v>
      </c>
      <c r="G1741" s="469">
        <f>G1066*70/80</f>
        <v>3.0625</v>
      </c>
      <c r="H1741" s="469">
        <f>H1066*70/80</f>
        <v>54.775</v>
      </c>
      <c r="I1741" s="472"/>
      <c r="J1741" s="467"/>
      <c r="K1741" s="64"/>
      <c r="L1741" s="29"/>
      <c r="M1741" s="82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  <c r="Y1741" s="24"/>
      <c r="Z1741" s="24"/>
      <c r="AA1741" s="24"/>
      <c r="AB1741" s="24"/>
      <c r="AC1741" s="24"/>
      <c r="AD1741" s="24"/>
      <c r="AE1741" s="24"/>
      <c r="AF1741" s="24"/>
      <c r="AG1741" s="24"/>
      <c r="AH1741" s="24"/>
      <c r="AI1741" s="24"/>
      <c r="AJ1741" s="24"/>
    </row>
    <row r="1742" spans="1:36" s="18" customFormat="1" ht="18.75" customHeight="1">
      <c r="A1742" s="474"/>
      <c r="B1742" s="475"/>
      <c r="C1742" s="475"/>
      <c r="D1742" s="475"/>
      <c r="E1742" s="476"/>
      <c r="F1742" s="476"/>
      <c r="G1742" s="476"/>
      <c r="H1742" s="476"/>
      <c r="I1742" s="477"/>
      <c r="J1742" s="467"/>
      <c r="K1742" s="64"/>
      <c r="L1742" s="29"/>
      <c r="M1742" s="82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X1742" s="24"/>
      <c r="Y1742" s="24"/>
      <c r="Z1742" s="24"/>
      <c r="AA1742" s="24"/>
      <c r="AB1742" s="24"/>
      <c r="AC1742" s="24"/>
      <c r="AD1742" s="24"/>
      <c r="AE1742" s="24"/>
      <c r="AF1742" s="24"/>
      <c r="AG1742" s="24"/>
      <c r="AH1742" s="24"/>
      <c r="AI1742" s="24"/>
      <c r="AJ1742" s="24"/>
    </row>
    <row r="1743" spans="1:36" s="18" customFormat="1" ht="18.75" customHeight="1">
      <c r="A1743" s="474"/>
      <c r="B1743" s="475"/>
      <c r="C1743" s="475"/>
      <c r="D1743" s="475"/>
      <c r="E1743" s="476"/>
      <c r="F1743" s="476"/>
      <c r="G1743" s="476"/>
      <c r="H1743" s="478"/>
      <c r="I1743" s="479"/>
      <c r="J1743" s="472"/>
      <c r="K1743" s="64"/>
      <c r="L1743" s="29"/>
      <c r="M1743" s="82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24"/>
      <c r="AC1743" s="24"/>
      <c r="AD1743" s="24"/>
      <c r="AE1743" s="24"/>
      <c r="AF1743" s="24"/>
      <c r="AG1743" s="24"/>
      <c r="AH1743" s="24"/>
      <c r="AI1743" s="24"/>
      <c r="AJ1743" s="24"/>
    </row>
    <row r="1744" spans="1:36" s="18" customFormat="1" ht="18.75" customHeight="1">
      <c r="A1744" s="474"/>
      <c r="B1744" s="475"/>
      <c r="C1744" s="475"/>
      <c r="D1744" s="475"/>
      <c r="E1744" s="476"/>
      <c r="F1744" s="476"/>
      <c r="G1744" s="476"/>
      <c r="H1744" s="478"/>
      <c r="I1744" s="479"/>
      <c r="J1744" s="472"/>
      <c r="K1744" s="64"/>
      <c r="L1744" s="29"/>
      <c r="M1744" s="82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24"/>
      <c r="AG1744" s="24"/>
      <c r="AH1744" s="24"/>
      <c r="AI1744" s="24"/>
      <c r="AJ1744" s="24"/>
    </row>
    <row r="1745" spans="1:36" s="18" customFormat="1" ht="18.75" customHeight="1">
      <c r="A1745" s="474"/>
      <c r="B1745" s="475"/>
      <c r="C1745" s="475"/>
      <c r="D1745" s="475"/>
      <c r="E1745" s="476"/>
      <c r="F1745" s="476"/>
      <c r="G1745" s="476"/>
      <c r="H1745" s="478"/>
      <c r="I1745" s="479"/>
      <c r="J1745" s="472"/>
      <c r="K1745" s="64"/>
      <c r="L1745" s="29"/>
      <c r="M1745" s="82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/>
      <c r="AI1745" s="24"/>
      <c r="AJ1745" s="24"/>
    </row>
    <row r="1746" spans="1:36" s="18" customFormat="1" ht="18.75" customHeight="1">
      <c r="A1746" s="474"/>
      <c r="B1746" s="475"/>
      <c r="C1746" s="475"/>
      <c r="D1746" s="475"/>
      <c r="E1746" s="476"/>
      <c r="F1746" s="476"/>
      <c r="G1746" s="476"/>
      <c r="H1746" s="478"/>
      <c r="I1746" s="479"/>
      <c r="J1746" s="476"/>
      <c r="K1746" s="64"/>
      <c r="L1746" s="29"/>
      <c r="M1746" s="82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24"/>
      <c r="AE1746" s="24"/>
      <c r="AF1746" s="24"/>
      <c r="AG1746" s="24"/>
      <c r="AH1746" s="24"/>
      <c r="AI1746" s="24"/>
      <c r="AJ1746" s="24"/>
    </row>
    <row r="1747" spans="1:36" s="18" customFormat="1" ht="18.75" customHeight="1">
      <c r="A1747" s="474"/>
      <c r="B1747" s="475"/>
      <c r="C1747" s="475"/>
      <c r="D1747" s="475"/>
      <c r="E1747" s="476"/>
      <c r="F1747" s="476"/>
      <c r="G1747" s="476"/>
      <c r="H1747" s="478"/>
      <c r="I1747" s="479"/>
      <c r="J1747" s="480"/>
      <c r="K1747" s="64"/>
      <c r="L1747" s="29"/>
      <c r="M1747" s="82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24"/>
      <c r="AC1747" s="24"/>
      <c r="AD1747" s="24"/>
      <c r="AE1747" s="24"/>
      <c r="AF1747" s="24"/>
      <c r="AG1747" s="24"/>
      <c r="AH1747" s="24"/>
      <c r="AI1747" s="24"/>
      <c r="AJ1747" s="24"/>
    </row>
    <row r="1748" spans="1:36" s="18" customFormat="1" ht="18.75" customHeight="1">
      <c r="A1748" s="474"/>
      <c r="B1748" s="475"/>
      <c r="C1748" s="475"/>
      <c r="D1748" s="475"/>
      <c r="E1748" s="476"/>
      <c r="F1748" s="476"/>
      <c r="G1748" s="476"/>
      <c r="H1748" s="478"/>
      <c r="I1748" s="479"/>
      <c r="J1748" s="480"/>
      <c r="K1748" s="64"/>
      <c r="L1748" s="29"/>
      <c r="M1748" s="82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  <c r="Y1748" s="24"/>
      <c r="Z1748" s="24"/>
      <c r="AA1748" s="24"/>
      <c r="AB1748" s="24"/>
      <c r="AC1748" s="24"/>
      <c r="AD1748" s="24"/>
      <c r="AE1748" s="24"/>
      <c r="AF1748" s="24"/>
      <c r="AG1748" s="24"/>
      <c r="AH1748" s="24"/>
      <c r="AI1748" s="24"/>
      <c r="AJ1748" s="24"/>
    </row>
  </sheetData>
  <sheetProtection/>
  <autoFilter ref="A1:A1741"/>
  <mergeCells count="521">
    <mergeCell ref="Y355:AA355"/>
    <mergeCell ref="A1612:I1612"/>
    <mergeCell ref="A842:J842"/>
    <mergeCell ref="D1259:I1259"/>
    <mergeCell ref="A845:J845"/>
    <mergeCell ref="A1160:J1160"/>
    <mergeCell ref="A1040:J1040"/>
    <mergeCell ref="D1508:I1508"/>
    <mergeCell ref="E1509:E1510"/>
    <mergeCell ref="J1366:J1368"/>
    <mergeCell ref="M743:O743"/>
    <mergeCell ref="A1617:C1617"/>
    <mergeCell ref="A1592:C1592"/>
    <mergeCell ref="A955:J955"/>
    <mergeCell ref="A952:J952"/>
    <mergeCell ref="A866:J866"/>
    <mergeCell ref="A846:J846"/>
    <mergeCell ref="B1508:B1510"/>
    <mergeCell ref="A1039:J1039"/>
    <mergeCell ref="J1512:J1514"/>
    <mergeCell ref="D1509:D1510"/>
    <mergeCell ref="A1451:C1451"/>
    <mergeCell ref="A1497:C1497"/>
    <mergeCell ref="A1486:C1486"/>
    <mergeCell ref="G1509:G1510"/>
    <mergeCell ref="H1509:H1510"/>
    <mergeCell ref="A1487:C1487"/>
    <mergeCell ref="I1509:I1510"/>
    <mergeCell ref="F1509:F1510"/>
    <mergeCell ref="A1508:A1510"/>
    <mergeCell ref="A1263:C1263"/>
    <mergeCell ref="D1362:I1362"/>
    <mergeCell ref="G1363:G1364"/>
    <mergeCell ref="I1363:I1364"/>
    <mergeCell ref="A1284:C1284"/>
    <mergeCell ref="H1363:H1364"/>
    <mergeCell ref="A1329:C1329"/>
    <mergeCell ref="D1363:D1364"/>
    <mergeCell ref="A1304:C1304"/>
    <mergeCell ref="A1318:C1318"/>
    <mergeCell ref="A1259:A1261"/>
    <mergeCell ref="B1259:B1261"/>
    <mergeCell ref="C1259:C1261"/>
    <mergeCell ref="A1314:C1314"/>
    <mergeCell ref="A1362:A1364"/>
    <mergeCell ref="B1362:B1364"/>
    <mergeCell ref="C1362:C1364"/>
    <mergeCell ref="A1322:C1322"/>
    <mergeCell ref="A1323:C1323"/>
    <mergeCell ref="A1327:C1327"/>
    <mergeCell ref="A1325:C1325"/>
    <mergeCell ref="J1263:J1265"/>
    <mergeCell ref="D1260:D1261"/>
    <mergeCell ref="E1260:E1261"/>
    <mergeCell ref="F1260:F1261"/>
    <mergeCell ref="G1260:G1261"/>
    <mergeCell ref="H1260:H1261"/>
    <mergeCell ref="I1260:I1261"/>
    <mergeCell ref="A1008:C1008"/>
    <mergeCell ref="E1042:E1043"/>
    <mergeCell ref="F1042:F1043"/>
    <mergeCell ref="A1103:C1103"/>
    <mergeCell ref="C1041:C1043"/>
    <mergeCell ref="A1088:C1088"/>
    <mergeCell ref="B1041:B1043"/>
    <mergeCell ref="A1044:D1044"/>
    <mergeCell ref="A1064:C1064"/>
    <mergeCell ref="D1042:D1043"/>
    <mergeCell ref="A1036:J1036"/>
    <mergeCell ref="A1035:C1035"/>
    <mergeCell ref="A1018:D1018"/>
    <mergeCell ref="I1042:I1043"/>
    <mergeCell ref="J957:J959"/>
    <mergeCell ref="D958:D959"/>
    <mergeCell ref="E958:E959"/>
    <mergeCell ref="F958:F959"/>
    <mergeCell ref="G958:G959"/>
    <mergeCell ref="I958:I959"/>
    <mergeCell ref="D957:I957"/>
    <mergeCell ref="H958:H959"/>
    <mergeCell ref="J847:J849"/>
    <mergeCell ref="D848:D849"/>
    <mergeCell ref="E848:E849"/>
    <mergeCell ref="F848:F849"/>
    <mergeCell ref="G848:G849"/>
    <mergeCell ref="H848:H849"/>
    <mergeCell ref="I848:I849"/>
    <mergeCell ref="D847:I847"/>
    <mergeCell ref="F750:F751"/>
    <mergeCell ref="J527:J529"/>
    <mergeCell ref="D528:D529"/>
    <mergeCell ref="A654:D654"/>
    <mergeCell ref="A605:C605"/>
    <mergeCell ref="A651:C651"/>
    <mergeCell ref="A606:C606"/>
    <mergeCell ref="A652:J652"/>
    <mergeCell ref="A608:D608"/>
    <mergeCell ref="A646:C646"/>
    <mergeCell ref="A522:J522"/>
    <mergeCell ref="A525:J525"/>
    <mergeCell ref="A460:C460"/>
    <mergeCell ref="I528:I529"/>
    <mergeCell ref="A487:J487"/>
    <mergeCell ref="A473:C473"/>
    <mergeCell ref="A509:C509"/>
    <mergeCell ref="A520:C520"/>
    <mergeCell ref="A130:A132"/>
    <mergeCell ref="A266:C266"/>
    <mergeCell ref="A521:C521"/>
    <mergeCell ref="A453:C453"/>
    <mergeCell ref="B384:B386"/>
    <mergeCell ref="C384:C386"/>
    <mergeCell ref="A323:C323"/>
    <mergeCell ref="A352:D352"/>
    <mergeCell ref="A459:D459"/>
    <mergeCell ref="A488:C488"/>
    <mergeCell ref="J292:J294"/>
    <mergeCell ref="D293:D294"/>
    <mergeCell ref="E293:E294"/>
    <mergeCell ref="F293:F294"/>
    <mergeCell ref="G293:G294"/>
    <mergeCell ref="H293:H294"/>
    <mergeCell ref="I293:I294"/>
    <mergeCell ref="D292:I292"/>
    <mergeCell ref="F131:F132"/>
    <mergeCell ref="D130:I130"/>
    <mergeCell ref="G131:G132"/>
    <mergeCell ref="A206:C206"/>
    <mergeCell ref="H131:H132"/>
    <mergeCell ref="I131:I132"/>
    <mergeCell ref="B130:B132"/>
    <mergeCell ref="A168:C168"/>
    <mergeCell ref="A174:C174"/>
    <mergeCell ref="C130:C132"/>
    <mergeCell ref="J5:J7"/>
    <mergeCell ref="I6:I7"/>
    <mergeCell ref="A129:J129"/>
    <mergeCell ref="A87:C87"/>
    <mergeCell ref="A71:C71"/>
    <mergeCell ref="A25:C25"/>
    <mergeCell ref="A29:J29"/>
    <mergeCell ref="A31:D31"/>
    <mergeCell ref="A30:C30"/>
    <mergeCell ref="A89:C89"/>
    <mergeCell ref="A99:J99"/>
    <mergeCell ref="A111:C111"/>
    <mergeCell ref="D131:D132"/>
    <mergeCell ref="E131:E132"/>
    <mergeCell ref="A100:C100"/>
    <mergeCell ref="A124:C124"/>
    <mergeCell ref="A127:D127"/>
    <mergeCell ref="A125:J125"/>
    <mergeCell ref="A123:C123"/>
    <mergeCell ref="J130:J132"/>
    <mergeCell ref="C847:C849"/>
    <mergeCell ref="A893:C893"/>
    <mergeCell ref="A531:C531"/>
    <mergeCell ref="A1476:C1476"/>
    <mergeCell ref="A975:J975"/>
    <mergeCell ref="A1096:C1096"/>
    <mergeCell ref="A1073:C1073"/>
    <mergeCell ref="A1063:J1063"/>
    <mergeCell ref="J1041:J1043"/>
    <mergeCell ref="J1138:J1140"/>
    <mergeCell ref="A772:D772"/>
    <mergeCell ref="A915:C915"/>
    <mergeCell ref="A851:C851"/>
    <mergeCell ref="A914:C914"/>
    <mergeCell ref="A821:C821"/>
    <mergeCell ref="A825:C825"/>
    <mergeCell ref="A907:C907"/>
    <mergeCell ref="A858:C858"/>
    <mergeCell ref="A847:A849"/>
    <mergeCell ref="B847:B849"/>
    <mergeCell ref="A817:C817"/>
    <mergeCell ref="A773:C773"/>
    <mergeCell ref="A798:J798"/>
    <mergeCell ref="A818:C818"/>
    <mergeCell ref="A790:C790"/>
    <mergeCell ref="A779:C779"/>
    <mergeCell ref="A816:D816"/>
    <mergeCell ref="A807:C807"/>
    <mergeCell ref="A815:C815"/>
    <mergeCell ref="A811:C811"/>
    <mergeCell ref="A656:J656"/>
    <mergeCell ref="J749:J751"/>
    <mergeCell ref="D750:D751"/>
    <mergeCell ref="A660:D660"/>
    <mergeCell ref="J657:J659"/>
    <mergeCell ref="I658:I659"/>
    <mergeCell ref="E658:E659"/>
    <mergeCell ref="B657:B659"/>
    <mergeCell ref="C657:C659"/>
    <mergeCell ref="B749:B751"/>
    <mergeCell ref="D658:D659"/>
    <mergeCell ref="A672:C672"/>
    <mergeCell ref="D657:I657"/>
    <mergeCell ref="F658:F659"/>
    <mergeCell ref="G658:G659"/>
    <mergeCell ref="A669:C669"/>
    <mergeCell ref="A643:C643"/>
    <mergeCell ref="A527:A529"/>
    <mergeCell ref="B527:B529"/>
    <mergeCell ref="A557:C557"/>
    <mergeCell ref="A558:J558"/>
    <mergeCell ref="A582:C582"/>
    <mergeCell ref="A593:C593"/>
    <mergeCell ref="E528:E529"/>
    <mergeCell ref="C527:C529"/>
    <mergeCell ref="D527:I527"/>
    <mergeCell ref="A370:C370"/>
    <mergeCell ref="A378:C378"/>
    <mergeCell ref="E385:E386"/>
    <mergeCell ref="F385:F386"/>
    <mergeCell ref="D385:D386"/>
    <mergeCell ref="D384:I384"/>
    <mergeCell ref="I385:I386"/>
    <mergeCell ref="H385:H386"/>
    <mergeCell ref="A383:J383"/>
    <mergeCell ref="A384:A386"/>
    <mergeCell ref="A314:D314"/>
    <mergeCell ref="A374:C374"/>
    <mergeCell ref="A356:D356"/>
    <mergeCell ref="A259:D259"/>
    <mergeCell ref="A289:D289"/>
    <mergeCell ref="A315:C315"/>
    <mergeCell ref="A313:C313"/>
    <mergeCell ref="A296:C296"/>
    <mergeCell ref="A295:D295"/>
    <mergeCell ref="C292:C294"/>
    <mergeCell ref="A655:J655"/>
    <mergeCell ref="A657:A659"/>
    <mergeCell ref="A347:C347"/>
    <mergeCell ref="A543:C543"/>
    <mergeCell ref="A547:C547"/>
    <mergeCell ref="A353:C353"/>
    <mergeCell ref="A379:J379"/>
    <mergeCell ref="A405:C405"/>
    <mergeCell ref="H658:H659"/>
    <mergeCell ref="A377:C377"/>
    <mergeCell ref="D749:I749"/>
    <mergeCell ref="A771:C771"/>
    <mergeCell ref="A752:D752"/>
    <mergeCell ref="C749:C751"/>
    <mergeCell ref="A749:A751"/>
    <mergeCell ref="H750:H751"/>
    <mergeCell ref="I750:I751"/>
    <mergeCell ref="G750:G751"/>
    <mergeCell ref="A753:C753"/>
    <mergeCell ref="A759:C759"/>
    <mergeCell ref="A3:J3"/>
    <mergeCell ref="A4:J4"/>
    <mergeCell ref="A625:D625"/>
    <mergeCell ref="A769:C769"/>
    <mergeCell ref="A650:C650"/>
    <mergeCell ref="A133:D133"/>
    <mergeCell ref="A607:C607"/>
    <mergeCell ref="A166:C166"/>
    <mergeCell ref="A243:C243"/>
    <mergeCell ref="A290:J290"/>
    <mergeCell ref="A1:J1"/>
    <mergeCell ref="A2:J2"/>
    <mergeCell ref="A409:C409"/>
    <mergeCell ref="A530:D530"/>
    <mergeCell ref="A291:J291"/>
    <mergeCell ref="A312:J312"/>
    <mergeCell ref="A128:J128"/>
    <mergeCell ref="A307:C307"/>
    <mergeCell ref="A285:J285"/>
    <mergeCell ref="A524:D524"/>
    <mergeCell ref="A1215:C1215"/>
    <mergeCell ref="A1214:C1214"/>
    <mergeCell ref="A1227:C1227"/>
    <mergeCell ref="A1130:J1130"/>
    <mergeCell ref="A1136:J1136"/>
    <mergeCell ref="B1138:B1140"/>
    <mergeCell ref="A1137:J1137"/>
    <mergeCell ref="A1135:D1135"/>
    <mergeCell ref="D1139:D1140"/>
    <mergeCell ref="F1139:F1140"/>
    <mergeCell ref="D1138:I1138"/>
    <mergeCell ref="E1139:E1140"/>
    <mergeCell ref="A1155:C1155"/>
    <mergeCell ref="A1141:D1141"/>
    <mergeCell ref="A1138:A1140"/>
    <mergeCell ref="A1151:C1151"/>
    <mergeCell ref="A1142:C1142"/>
    <mergeCell ref="G1139:G1140"/>
    <mergeCell ref="H1139:H1140"/>
    <mergeCell ref="I1139:I1140"/>
    <mergeCell ref="J384:J386"/>
    <mergeCell ref="A401:C401"/>
    <mergeCell ref="A397:C397"/>
    <mergeCell ref="A388:C388"/>
    <mergeCell ref="G385:G386"/>
    <mergeCell ref="A1055:C1055"/>
    <mergeCell ref="A1041:A1043"/>
    <mergeCell ref="A996:C996"/>
    <mergeCell ref="A1022:C1022"/>
    <mergeCell ref="A1017:C1017"/>
    <mergeCell ref="A1016:C1016"/>
    <mergeCell ref="A1038:D1038"/>
    <mergeCell ref="D1041:I1041"/>
    <mergeCell ref="H1042:H1043"/>
    <mergeCell ref="G1042:G1043"/>
    <mergeCell ref="A270:C270"/>
    <mergeCell ref="A304:C304"/>
    <mergeCell ref="A286:C286"/>
    <mergeCell ref="A292:A294"/>
    <mergeCell ref="B292:B294"/>
    <mergeCell ref="A283:C283"/>
    <mergeCell ref="A284:C284"/>
    <mergeCell ref="A357:C357"/>
    <mergeCell ref="A362:C362"/>
    <mergeCell ref="A387:D387"/>
    <mergeCell ref="A334:C334"/>
    <mergeCell ref="A350:C350"/>
    <mergeCell ref="A351:C351"/>
    <mergeCell ref="A382:J382"/>
    <mergeCell ref="A354:C354"/>
    <mergeCell ref="A381:D381"/>
    <mergeCell ref="A355:C355"/>
    <mergeCell ref="A258:C258"/>
    <mergeCell ref="A205:J205"/>
    <mergeCell ref="A224:C224"/>
    <mergeCell ref="A191:J191"/>
    <mergeCell ref="A241:C241"/>
    <mergeCell ref="A192:C192"/>
    <mergeCell ref="A134:C134"/>
    <mergeCell ref="A280:C280"/>
    <mergeCell ref="C260:D260"/>
    <mergeCell ref="A158:C158"/>
    <mergeCell ref="A169:D169"/>
    <mergeCell ref="A234:C234"/>
    <mergeCell ref="A167:J167"/>
    <mergeCell ref="A237:C237"/>
    <mergeCell ref="A240:C240"/>
    <mergeCell ref="A269:C269"/>
    <mergeCell ref="A40:C40"/>
    <mergeCell ref="A146:J146"/>
    <mergeCell ref="A147:C147"/>
    <mergeCell ref="A242:D242"/>
    <mergeCell ref="A170:C170"/>
    <mergeCell ref="A88:D88"/>
    <mergeCell ref="A76:D76"/>
    <mergeCell ref="A77:C77"/>
    <mergeCell ref="A165:C165"/>
    <mergeCell ref="A74:C74"/>
    <mergeCell ref="G6:G7"/>
    <mergeCell ref="C5:C7"/>
    <mergeCell ref="A5:A7"/>
    <mergeCell ref="B5:B7"/>
    <mergeCell ref="A75:C75"/>
    <mergeCell ref="A9:C9"/>
    <mergeCell ref="A867:C867"/>
    <mergeCell ref="A407:C407"/>
    <mergeCell ref="A429:C429"/>
    <mergeCell ref="A408:D408"/>
    <mergeCell ref="A516:C516"/>
    <mergeCell ref="A743:C743"/>
    <mergeCell ref="A661:C661"/>
    <mergeCell ref="A850:D850"/>
    <mergeCell ref="A1606:C1606"/>
    <mergeCell ref="A1340:C1340"/>
    <mergeCell ref="C1508:C1510"/>
    <mergeCell ref="A1366:C1366"/>
    <mergeCell ref="A1534:C1534"/>
    <mergeCell ref="A1466:C1466"/>
    <mergeCell ref="A1391:C1391"/>
    <mergeCell ref="A1373:C1373"/>
    <mergeCell ref="A1356:C1356"/>
    <mergeCell ref="A1355:C1355"/>
    <mergeCell ref="A1161:C1161"/>
    <mergeCell ref="A1448:C1448"/>
    <mergeCell ref="A1601:C1601"/>
    <mergeCell ref="A1433:C1433"/>
    <mergeCell ref="A1577:C1577"/>
    <mergeCell ref="A1512:C1512"/>
    <mergeCell ref="A1501:C1501"/>
    <mergeCell ref="A1543:C1543"/>
    <mergeCell ref="A1502:C1502"/>
    <mergeCell ref="A1330:C1330"/>
    <mergeCell ref="A1128:C1128"/>
    <mergeCell ref="A1102:C1102"/>
    <mergeCell ref="A1066:C1066"/>
    <mergeCell ref="A970:C970"/>
    <mergeCell ref="A976:C976"/>
    <mergeCell ref="A1015:C1015"/>
    <mergeCell ref="A1013:C1013"/>
    <mergeCell ref="A1003:C1003"/>
    <mergeCell ref="A977:D977"/>
    <mergeCell ref="A978:C978"/>
    <mergeCell ref="A974:C974"/>
    <mergeCell ref="A1014:D1014"/>
    <mergeCell ref="A1108:D1108"/>
    <mergeCell ref="A1104:D1104"/>
    <mergeCell ref="A1106:C1106"/>
    <mergeCell ref="A982:C982"/>
    <mergeCell ref="A1025:C1025"/>
    <mergeCell ref="A1105:C1105"/>
    <mergeCell ref="A1065:D1065"/>
    <mergeCell ref="A1012:C1012"/>
    <mergeCell ref="A1174:C1174"/>
    <mergeCell ref="A1162:D1162"/>
    <mergeCell ref="A1326:C1326"/>
    <mergeCell ref="A1291:C1291"/>
    <mergeCell ref="A1217:C1217"/>
    <mergeCell ref="A1201:C1201"/>
    <mergeCell ref="A1253:C1253"/>
    <mergeCell ref="A1242:C1242"/>
    <mergeCell ref="A1252:C1252"/>
    <mergeCell ref="A1249:C1249"/>
    <mergeCell ref="E1363:E1364"/>
    <mergeCell ref="F1363:F1364"/>
    <mergeCell ref="A1605:C1605"/>
    <mergeCell ref="A1532:C1532"/>
    <mergeCell ref="A1573:C1573"/>
    <mergeCell ref="A1581:C1581"/>
    <mergeCell ref="A1576:C1576"/>
    <mergeCell ref="A1604:C1604"/>
    <mergeCell ref="A1449:C1449"/>
    <mergeCell ref="A1383:C1383"/>
    <mergeCell ref="C1138:C1140"/>
    <mergeCell ref="A1131:C1131"/>
    <mergeCell ref="A913:D913"/>
    <mergeCell ref="A916:D916"/>
    <mergeCell ref="A927:C927"/>
    <mergeCell ref="A957:A959"/>
    <mergeCell ref="B957:B959"/>
    <mergeCell ref="C957:C959"/>
    <mergeCell ref="A1124:C1124"/>
    <mergeCell ref="A1129:C1129"/>
    <mergeCell ref="A458:C458"/>
    <mergeCell ref="A457:C457"/>
    <mergeCell ref="A414:C414"/>
    <mergeCell ref="A456:C456"/>
    <mergeCell ref="A744:J744"/>
    <mergeCell ref="A711:D711"/>
    <mergeCell ref="A705:C705"/>
    <mergeCell ref="A713:C713"/>
    <mergeCell ref="A715:D715"/>
    <mergeCell ref="A742:C742"/>
    <mergeCell ref="A714:C714"/>
    <mergeCell ref="A723:C723"/>
    <mergeCell ref="A732:C732"/>
    <mergeCell ref="A739:C739"/>
    <mergeCell ref="A406:J406"/>
    <mergeCell ref="A449:C449"/>
    <mergeCell ref="A454:C454"/>
    <mergeCell ref="A455:D455"/>
    <mergeCell ref="A443:C443"/>
    <mergeCell ref="A67:C67"/>
    <mergeCell ref="D6:D7"/>
    <mergeCell ref="D5:I5"/>
    <mergeCell ref="E6:E7"/>
    <mergeCell ref="A53:C53"/>
    <mergeCell ref="H6:H7"/>
    <mergeCell ref="A8:D8"/>
    <mergeCell ref="A16:C16"/>
    <mergeCell ref="A21:C21"/>
    <mergeCell ref="F6:F7"/>
    <mergeCell ref="A678:D678"/>
    <mergeCell ref="A712:C712"/>
    <mergeCell ref="A697:C697"/>
    <mergeCell ref="A710:C710"/>
    <mergeCell ref="A566:C566"/>
    <mergeCell ref="A559:C559"/>
    <mergeCell ref="A526:J526"/>
    <mergeCell ref="A560:D560"/>
    <mergeCell ref="A561:C561"/>
    <mergeCell ref="F528:F529"/>
    <mergeCell ref="G528:G529"/>
    <mergeCell ref="H528:H529"/>
    <mergeCell ref="A820:D820"/>
    <mergeCell ref="A911:C911"/>
    <mergeCell ref="A799:C799"/>
    <mergeCell ref="A814:C814"/>
    <mergeCell ref="A874:C874"/>
    <mergeCell ref="A868:D868"/>
    <mergeCell ref="A819:C819"/>
    <mergeCell ref="A844:D844"/>
    <mergeCell ref="A837:C837"/>
    <mergeCell ref="A840:C840"/>
    <mergeCell ref="A912:C912"/>
    <mergeCell ref="A917:C917"/>
    <mergeCell ref="A951:C951"/>
    <mergeCell ref="A966:C966"/>
    <mergeCell ref="A939:C939"/>
    <mergeCell ref="A960:D960"/>
    <mergeCell ref="A961:C961"/>
    <mergeCell ref="A956:J956"/>
    <mergeCell ref="A770:D770"/>
    <mergeCell ref="A676:J676"/>
    <mergeCell ref="E750:E751"/>
    <mergeCell ref="A748:J748"/>
    <mergeCell ref="A747:J747"/>
    <mergeCell ref="A709:C709"/>
    <mergeCell ref="A677:C677"/>
    <mergeCell ref="A746:D746"/>
    <mergeCell ref="A684:C684"/>
    <mergeCell ref="A679:C679"/>
    <mergeCell ref="A862:C862"/>
    <mergeCell ref="A1279:C1279"/>
    <mergeCell ref="A841:C841"/>
    <mergeCell ref="A954:D954"/>
    <mergeCell ref="A1045:C1045"/>
    <mergeCell ref="A1114:C1114"/>
    <mergeCell ref="A1099:C1099"/>
    <mergeCell ref="A1107:C1107"/>
    <mergeCell ref="A1059:C1059"/>
    <mergeCell ref="A950:C950"/>
    <mergeCell ref="M46:O46"/>
    <mergeCell ref="N61:P61"/>
    <mergeCell ref="A472:J472"/>
    <mergeCell ref="A1580:C1580"/>
    <mergeCell ref="A1468:C1468"/>
    <mergeCell ref="A1270:C1270"/>
    <mergeCell ref="A1211:C1211"/>
    <mergeCell ref="A1579:C1579"/>
    <mergeCell ref="A1400:C1400"/>
    <mergeCell ref="A1393:C1393"/>
  </mergeCells>
  <printOptions horizontalCentered="1"/>
  <pageMargins left="0.7874015748031497" right="0.3937007874015748" top="0.3937007874015748" bottom="0.3937007874015748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80"/>
  <sheetViews>
    <sheetView zoomScale="90" zoomScaleNormal="90" zoomScalePageLayoutView="0" workbookViewId="0" topLeftCell="A1">
      <selection activeCell="F19" sqref="F19"/>
    </sheetView>
  </sheetViews>
  <sheetFormatPr defaultColWidth="9.00390625" defaultRowHeight="12.75" outlineLevelCol="1"/>
  <cols>
    <col min="1" max="1" width="2.875" style="180" customWidth="1"/>
    <col min="2" max="2" width="33.00390625" style="127" customWidth="1"/>
    <col min="3" max="3" width="10.25390625" style="127" customWidth="1"/>
    <col min="4" max="17" width="5.00390625" style="127" customWidth="1"/>
    <col min="18" max="18" width="9.25390625" style="127" customWidth="1"/>
    <col min="19" max="19" width="10.00390625" style="127" customWidth="1"/>
    <col min="20" max="20" width="11.25390625" style="127" customWidth="1"/>
    <col min="21" max="22" width="5.875" style="24" hidden="1" customWidth="1" outlineLevel="1"/>
    <col min="23" max="23" width="7.125" style="24" hidden="1" customWidth="1" outlineLevel="1"/>
    <col min="24" max="24" width="6.375" style="24" hidden="1" customWidth="1" outlineLevel="1"/>
    <col min="25" max="25" width="9.125" style="24" customWidth="1" collapsed="1"/>
    <col min="26" max="26" width="9.125" style="24" customWidth="1"/>
    <col min="27" max="16384" width="9.125" style="108" customWidth="1"/>
  </cols>
  <sheetData>
    <row r="1" spans="1:24" s="108" customFormat="1" ht="23.25" customHeight="1" thickBot="1">
      <c r="A1" s="544" t="s">
        <v>515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</row>
    <row r="2" spans="1:24" s="108" customFormat="1" ht="15.75" customHeight="1" thickBot="1">
      <c r="A2" s="561" t="s">
        <v>73</v>
      </c>
      <c r="B2" s="563" t="s">
        <v>74</v>
      </c>
      <c r="C2" s="555" t="s">
        <v>304</v>
      </c>
      <c r="D2" s="563" t="s">
        <v>188</v>
      </c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55" t="s">
        <v>139</v>
      </c>
      <c r="S2" s="555" t="s">
        <v>121</v>
      </c>
      <c r="T2" s="553" t="s">
        <v>130</v>
      </c>
      <c r="U2" s="557" t="s">
        <v>122</v>
      </c>
      <c r="V2" s="557"/>
      <c r="W2" s="557"/>
      <c r="X2" s="549" t="s">
        <v>75</v>
      </c>
    </row>
    <row r="3" spans="1:24" s="108" customFormat="1" ht="15.75" customHeight="1">
      <c r="A3" s="562"/>
      <c r="B3" s="559"/>
      <c r="C3" s="556"/>
      <c r="D3" s="559" t="s">
        <v>76</v>
      </c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6"/>
      <c r="S3" s="556"/>
      <c r="T3" s="554"/>
      <c r="U3" s="552" t="s">
        <v>77</v>
      </c>
      <c r="V3" s="545" t="s">
        <v>78</v>
      </c>
      <c r="W3" s="547" t="s">
        <v>79</v>
      </c>
      <c r="X3" s="550"/>
    </row>
    <row r="4" spans="1:24" s="108" customFormat="1" ht="15.75" customHeight="1" thickBot="1">
      <c r="A4" s="562"/>
      <c r="B4" s="559"/>
      <c r="C4" s="556"/>
      <c r="D4" s="233">
        <v>1</v>
      </c>
      <c r="E4" s="233">
        <v>2</v>
      </c>
      <c r="F4" s="233">
        <v>3</v>
      </c>
      <c r="G4" s="233">
        <v>4</v>
      </c>
      <c r="H4" s="233">
        <v>5</v>
      </c>
      <c r="I4" s="233">
        <v>6</v>
      </c>
      <c r="J4" s="233">
        <v>7</v>
      </c>
      <c r="K4" s="233">
        <v>8</v>
      </c>
      <c r="L4" s="233">
        <v>9</v>
      </c>
      <c r="M4" s="233">
        <v>10</v>
      </c>
      <c r="N4" s="233">
        <v>11</v>
      </c>
      <c r="O4" s="233">
        <v>12</v>
      </c>
      <c r="P4" s="233">
        <v>13</v>
      </c>
      <c r="Q4" s="233">
        <v>14</v>
      </c>
      <c r="R4" s="556"/>
      <c r="S4" s="556"/>
      <c r="T4" s="554"/>
      <c r="U4" s="552"/>
      <c r="V4" s="546"/>
      <c r="W4" s="548"/>
      <c r="X4" s="551"/>
    </row>
    <row r="5" spans="1:24" s="108" customFormat="1" ht="13.5" customHeight="1">
      <c r="A5" s="205">
        <v>1</v>
      </c>
      <c r="B5" s="212" t="s">
        <v>305</v>
      </c>
      <c r="C5" s="213">
        <v>120</v>
      </c>
      <c r="D5" s="206">
        <f>Меню!M6</f>
        <v>110</v>
      </c>
      <c r="E5" s="206">
        <f>Меню!M132</f>
        <v>80</v>
      </c>
      <c r="F5" s="206">
        <f>Меню!M250</f>
        <v>110</v>
      </c>
      <c r="G5" s="206">
        <f>Меню!M350</f>
        <v>100</v>
      </c>
      <c r="H5" s="206">
        <f>Меню!M467</f>
        <v>120</v>
      </c>
      <c r="I5" s="206">
        <f>Меню!M576</f>
        <v>120</v>
      </c>
      <c r="J5" s="206">
        <f>Меню!M687</f>
        <v>120</v>
      </c>
      <c r="K5" s="206">
        <f>Меню!M798</f>
        <v>120</v>
      </c>
      <c r="L5" s="206">
        <f>Меню!M891</f>
        <v>120</v>
      </c>
      <c r="M5" s="206">
        <f>Меню!M1002</f>
        <v>120</v>
      </c>
      <c r="N5" s="206">
        <f>Меню!M1107</f>
        <v>110</v>
      </c>
      <c r="O5" s="206">
        <f>Меню!M1261</f>
        <v>110</v>
      </c>
      <c r="P5" s="206">
        <f>Меню!M1386</f>
        <v>120</v>
      </c>
      <c r="Q5" s="206">
        <f>Меню!M1462</f>
        <v>90</v>
      </c>
      <c r="R5" s="206">
        <f>SUM(D5:Q5)</f>
        <v>1550</v>
      </c>
      <c r="S5" s="207">
        <f>R5/14</f>
        <v>110.71428571428571</v>
      </c>
      <c r="T5" s="196">
        <f aca="true" t="shared" si="0" ref="T5:T32">S5*100/C5</f>
        <v>92.26190476190476</v>
      </c>
      <c r="U5" s="218">
        <f>S5*4.9/100</f>
        <v>5.425</v>
      </c>
      <c r="V5" s="219">
        <f>S5*1/100</f>
        <v>1.107142857142857</v>
      </c>
      <c r="W5" s="220">
        <f>S5*46.1/100</f>
        <v>51.03928571428572</v>
      </c>
      <c r="X5" s="221">
        <f>W5*4+V5*9+U5*4</f>
        <v>235.82142857142858</v>
      </c>
    </row>
    <row r="6" spans="1:24" s="108" customFormat="1" ht="13.5" customHeight="1">
      <c r="A6" s="205">
        <v>2</v>
      </c>
      <c r="B6" s="212" t="s">
        <v>80</v>
      </c>
      <c r="C6" s="213">
        <v>200</v>
      </c>
      <c r="D6" s="206">
        <f>Меню!M7</f>
        <v>159</v>
      </c>
      <c r="E6" s="206">
        <f>Меню!M133</f>
        <v>158.28571428571428</v>
      </c>
      <c r="F6" s="206">
        <f>Меню!M251</f>
        <v>245</v>
      </c>
      <c r="G6" s="206">
        <f>Меню!M351</f>
        <v>190</v>
      </c>
      <c r="H6" s="206">
        <f>Меню!M468</f>
        <v>167.3</v>
      </c>
      <c r="I6" s="206">
        <f>Меню!M577</f>
        <v>210</v>
      </c>
      <c r="J6" s="206">
        <f>Меню!M688</f>
        <v>220</v>
      </c>
      <c r="K6" s="206">
        <f>Меню!M799</f>
        <v>160</v>
      </c>
      <c r="L6" s="206">
        <f>Меню!M892</f>
        <v>237</v>
      </c>
      <c r="M6" s="206">
        <f>Меню!M1003</f>
        <v>203.42857142857144</v>
      </c>
      <c r="N6" s="206">
        <f>Меню!M1108</f>
        <v>180</v>
      </c>
      <c r="O6" s="206">
        <f>Меню!M1262</f>
        <v>263</v>
      </c>
      <c r="P6" s="206">
        <f>Меню!M1387</f>
        <v>184.3</v>
      </c>
      <c r="Q6" s="206">
        <f>Меню!M1463</f>
        <v>148</v>
      </c>
      <c r="R6" s="206">
        <f>SUM(D6:Q6)</f>
        <v>2725.3142857142857</v>
      </c>
      <c r="S6" s="207">
        <f aca="true" t="shared" si="1" ref="S6:S32">R6/14</f>
        <v>194.66530612244898</v>
      </c>
      <c r="T6" s="196">
        <f t="shared" si="0"/>
        <v>97.33265306122448</v>
      </c>
      <c r="U6" s="208">
        <f>S6*7.9/100</f>
        <v>15.378559183673469</v>
      </c>
      <c r="V6" s="209">
        <f>S6*1/100</f>
        <v>1.94665306122449</v>
      </c>
      <c r="W6" s="210">
        <f>S6*47.1/100</f>
        <v>91.68735918367346</v>
      </c>
      <c r="X6" s="211">
        <f aca="true" t="shared" si="2" ref="X6:X30">W6*4+V6*9+U6*4</f>
        <v>445.78355102040814</v>
      </c>
    </row>
    <row r="7" spans="1:24" s="108" customFormat="1" ht="13.5" customHeight="1">
      <c r="A7" s="205">
        <v>3</v>
      </c>
      <c r="B7" s="212" t="s">
        <v>306</v>
      </c>
      <c r="C7" s="213">
        <v>20</v>
      </c>
      <c r="D7" s="206">
        <f>Меню!M8</f>
        <v>45.08</v>
      </c>
      <c r="E7" s="206">
        <f>Меню!M134</f>
        <v>37.50000000000001</v>
      </c>
      <c r="F7" s="206">
        <f>Меню!M252</f>
        <v>4</v>
      </c>
      <c r="G7" s="206">
        <f>Меню!M352</f>
        <v>9.9</v>
      </c>
      <c r="H7" s="206">
        <f>Меню!M469</f>
        <v>55</v>
      </c>
      <c r="I7" s="206">
        <f>Меню!M578</f>
        <v>0</v>
      </c>
      <c r="J7" s="206">
        <f>Меню!M689</f>
        <v>2.5</v>
      </c>
      <c r="K7" s="206">
        <f>Меню!M800</f>
        <v>2.5</v>
      </c>
      <c r="L7" s="206">
        <f>Меню!M893</f>
        <v>0</v>
      </c>
      <c r="M7" s="206">
        <f>Меню!M1004</f>
        <v>11</v>
      </c>
      <c r="N7" s="206">
        <f>Меню!M1109</f>
        <v>33</v>
      </c>
      <c r="O7" s="206">
        <f>Меню!M1263</f>
        <v>18.2</v>
      </c>
      <c r="P7" s="206">
        <f>Меню!M1388</f>
        <v>61</v>
      </c>
      <c r="Q7" s="206">
        <f>Меню!M1464</f>
        <v>0</v>
      </c>
      <c r="R7" s="206">
        <f aca="true" t="shared" si="3" ref="R7:R32">SUM(D7:Q7)</f>
        <v>279.68</v>
      </c>
      <c r="S7" s="207">
        <f t="shared" si="1"/>
        <v>19.97714285714286</v>
      </c>
      <c r="T7" s="196">
        <f t="shared" si="0"/>
        <v>99.88571428571429</v>
      </c>
      <c r="U7" s="208">
        <f>S7*10.6/100</f>
        <v>2.117577142857143</v>
      </c>
      <c r="V7" s="209">
        <f>S7*1.3/100</f>
        <v>0.2597028571428572</v>
      </c>
      <c r="W7" s="210">
        <f>S7*68.9/100</f>
        <v>13.76425142857143</v>
      </c>
      <c r="X7" s="211">
        <f t="shared" si="2"/>
        <v>65.86464000000001</v>
      </c>
    </row>
    <row r="8" spans="1:24" s="108" customFormat="1" ht="13.5" customHeight="1">
      <c r="A8" s="205">
        <v>4</v>
      </c>
      <c r="B8" s="234" t="s">
        <v>307</v>
      </c>
      <c r="C8" s="235">
        <v>50</v>
      </c>
      <c r="D8" s="206">
        <f>Меню!M9</f>
        <v>87</v>
      </c>
      <c r="E8" s="206">
        <f>Меню!M135</f>
        <v>6</v>
      </c>
      <c r="F8" s="206">
        <f>Меню!M253</f>
        <v>82</v>
      </c>
      <c r="G8" s="206">
        <f>Меню!M353</f>
        <v>49</v>
      </c>
      <c r="H8" s="206">
        <f>Меню!M470</f>
        <v>15</v>
      </c>
      <c r="I8" s="206">
        <f>Меню!M579</f>
        <v>98</v>
      </c>
      <c r="J8" s="206">
        <f>Меню!M690</f>
        <v>50</v>
      </c>
      <c r="K8" s="206">
        <f>Меню!M801</f>
        <v>45</v>
      </c>
      <c r="L8" s="206">
        <f>Меню!M894</f>
        <v>25</v>
      </c>
      <c r="M8" s="206">
        <f>Меню!M1005</f>
        <v>68</v>
      </c>
      <c r="N8" s="206">
        <f>Меню!M1110</f>
        <v>63</v>
      </c>
      <c r="O8" s="206">
        <f>Меню!M1264</f>
        <v>80</v>
      </c>
      <c r="P8" s="206">
        <f>Меню!M1389</f>
        <v>15</v>
      </c>
      <c r="Q8" s="206">
        <f>Меню!M1465</f>
        <v>34</v>
      </c>
      <c r="R8" s="206">
        <f t="shared" si="3"/>
        <v>717</v>
      </c>
      <c r="S8" s="207">
        <f t="shared" si="1"/>
        <v>51.214285714285715</v>
      </c>
      <c r="T8" s="196">
        <f t="shared" si="0"/>
        <v>102.42857142857143</v>
      </c>
      <c r="U8" s="208">
        <f>S8*7/100</f>
        <v>3.585</v>
      </c>
      <c r="V8" s="209">
        <f>S8*1/100</f>
        <v>0.5121428571428571</v>
      </c>
      <c r="W8" s="210">
        <f>S8*37.9/100</f>
        <v>19.410214285714286</v>
      </c>
      <c r="X8" s="211">
        <f t="shared" si="2"/>
        <v>96.59014285714287</v>
      </c>
    </row>
    <row r="9" spans="1:24" s="108" customFormat="1" ht="13.5" customHeight="1">
      <c r="A9" s="205">
        <v>5</v>
      </c>
      <c r="B9" s="234" t="s">
        <v>308</v>
      </c>
      <c r="C9" s="235">
        <v>20</v>
      </c>
      <c r="D9" s="206">
        <f>Меню!M10</f>
        <v>0</v>
      </c>
      <c r="E9" s="206">
        <f>Меню!M136</f>
        <v>70</v>
      </c>
      <c r="F9" s="206">
        <f>Меню!M254</f>
        <v>0</v>
      </c>
      <c r="G9" s="206">
        <f>Меню!M354</f>
        <v>0</v>
      </c>
      <c r="H9" s="206">
        <f>Меню!M471</f>
        <v>70</v>
      </c>
      <c r="I9" s="206">
        <f>Меню!M580</f>
        <v>0</v>
      </c>
      <c r="J9" s="206">
        <f>Меню!M691</f>
        <v>28</v>
      </c>
      <c r="K9" s="206">
        <f>Меню!M802</f>
        <v>0</v>
      </c>
      <c r="L9" s="206">
        <f>Меню!M895</f>
        <v>0</v>
      </c>
      <c r="M9" s="206">
        <f>Меню!M1007</f>
        <v>70</v>
      </c>
      <c r="N9" s="206">
        <f>Меню!M1111</f>
        <v>0</v>
      </c>
      <c r="O9" s="206">
        <f>Меню!M1265</f>
        <v>0</v>
      </c>
      <c r="P9" s="206">
        <f>Меню!M1390</f>
        <v>28</v>
      </c>
      <c r="Q9" s="206">
        <f>Меню!M1466</f>
        <v>0</v>
      </c>
      <c r="R9" s="206">
        <f t="shared" si="3"/>
        <v>266</v>
      </c>
      <c r="S9" s="207">
        <f t="shared" si="1"/>
        <v>19</v>
      </c>
      <c r="T9" s="196">
        <f t="shared" si="0"/>
        <v>95</v>
      </c>
      <c r="U9" s="208"/>
      <c r="V9" s="209"/>
      <c r="W9" s="210"/>
      <c r="X9" s="211"/>
    </row>
    <row r="10" spans="1:24" s="108" customFormat="1" ht="13.5" customHeight="1">
      <c r="A10" s="205">
        <v>6</v>
      </c>
      <c r="B10" s="212" t="s">
        <v>134</v>
      </c>
      <c r="C10" s="213">
        <v>250</v>
      </c>
      <c r="D10" s="206">
        <f>Меню!M11</f>
        <v>210.9</v>
      </c>
      <c r="E10" s="206">
        <f>Меню!M137</f>
        <v>198.17000000000002</v>
      </c>
      <c r="F10" s="206">
        <f>Меню!M255</f>
        <v>27</v>
      </c>
      <c r="G10" s="206">
        <f>Меню!M355</f>
        <v>332.5</v>
      </c>
      <c r="H10" s="206">
        <f>Меню!M472</f>
        <v>208.81</v>
      </c>
      <c r="I10" s="206">
        <f>Меню!M581</f>
        <v>346.8230769230769</v>
      </c>
      <c r="J10" s="206">
        <f>Меню!M692</f>
        <v>312.55</v>
      </c>
      <c r="K10" s="206">
        <f>Меню!M803</f>
        <v>485.45</v>
      </c>
      <c r="L10" s="206">
        <f>Меню!M896</f>
        <v>313.5730769230769</v>
      </c>
      <c r="M10" s="206" t="e">
        <f>Меню!#REF!</f>
        <v>#REF!</v>
      </c>
      <c r="N10" s="206">
        <f>Меню!M1112</f>
        <v>251.0630769230769</v>
      </c>
      <c r="O10" s="206">
        <f>Меню!M1266</f>
        <v>279.3</v>
      </c>
      <c r="P10" s="206">
        <f>Меню!M1391</f>
        <v>266</v>
      </c>
      <c r="Q10" s="206">
        <f>Меню!M1467</f>
        <v>292.6</v>
      </c>
      <c r="R10" s="206" t="e">
        <f t="shared" si="3"/>
        <v>#REF!</v>
      </c>
      <c r="S10" s="207" t="e">
        <f t="shared" si="1"/>
        <v>#REF!</v>
      </c>
      <c r="T10" s="196" t="e">
        <f t="shared" si="0"/>
        <v>#REF!</v>
      </c>
      <c r="U10" s="208" t="e">
        <f>S10*2/100</f>
        <v>#REF!</v>
      </c>
      <c r="V10" s="209" t="e">
        <f>S10*0.4/100</f>
        <v>#REF!</v>
      </c>
      <c r="W10" s="210" t="e">
        <f>S10*16.3/100</f>
        <v>#REF!</v>
      </c>
      <c r="X10" s="211" t="e">
        <f t="shared" si="2"/>
        <v>#REF!</v>
      </c>
    </row>
    <row r="11" spans="1:24" s="108" customFormat="1" ht="13.5" customHeight="1">
      <c r="A11" s="205">
        <v>7</v>
      </c>
      <c r="B11" s="212" t="s">
        <v>309</v>
      </c>
      <c r="C11" s="213">
        <v>400</v>
      </c>
      <c r="D11" s="206">
        <f>Меню!M12</f>
        <v>460.95000000000005</v>
      </c>
      <c r="E11" s="206">
        <f>Меню!M138</f>
        <v>297.39</v>
      </c>
      <c r="F11" s="206">
        <f>Меню!M256</f>
        <v>569.3119999999999</v>
      </c>
      <c r="G11" s="206">
        <f>Меню!M356</f>
        <v>486.43199999999996</v>
      </c>
      <c r="H11" s="206">
        <f>Меню!M473</f>
        <v>399.58</v>
      </c>
      <c r="I11" s="206">
        <f>Меню!M582</f>
        <v>312.76</v>
      </c>
      <c r="J11" s="206">
        <f>Меню!M693</f>
        <v>335.77</v>
      </c>
      <c r="K11" s="206">
        <f>Меню!M804</f>
        <v>466.77400000000006</v>
      </c>
      <c r="L11" s="206">
        <f>Меню!M897</f>
        <v>319.1</v>
      </c>
      <c r="M11" s="206" t="e">
        <f>Меню!#REF!</f>
        <v>#REF!</v>
      </c>
      <c r="N11" s="206">
        <f>Меню!M1113</f>
        <v>443.5799999999999</v>
      </c>
      <c r="O11" s="206">
        <f>Меню!M1267</f>
        <v>297.53000000000003</v>
      </c>
      <c r="P11" s="206">
        <f>Меню!M1392</f>
        <v>249.79000000000002</v>
      </c>
      <c r="Q11" s="206">
        <f>Меню!M1468</f>
        <v>292.63000000000005</v>
      </c>
      <c r="R11" s="206" t="e">
        <f t="shared" si="3"/>
        <v>#REF!</v>
      </c>
      <c r="S11" s="207" t="e">
        <f t="shared" si="1"/>
        <v>#REF!</v>
      </c>
      <c r="T11" s="196" t="e">
        <f t="shared" si="0"/>
        <v>#REF!</v>
      </c>
      <c r="U11" s="208" t="e">
        <f>S11*1.4/100</f>
        <v>#REF!</v>
      </c>
      <c r="V11" s="209" t="e">
        <f>S11*0/100</f>
        <v>#REF!</v>
      </c>
      <c r="W11" s="210" t="e">
        <f>S11*9.1/100</f>
        <v>#REF!</v>
      </c>
      <c r="X11" s="211" t="e">
        <f t="shared" si="2"/>
        <v>#REF!</v>
      </c>
    </row>
    <row r="12" spans="1:24" s="108" customFormat="1" ht="13.5" customHeight="1">
      <c r="A12" s="205">
        <v>8</v>
      </c>
      <c r="B12" s="212" t="s">
        <v>83</v>
      </c>
      <c r="C12" s="213">
        <v>200</v>
      </c>
      <c r="D12" s="206">
        <f>Меню!M13</f>
        <v>180</v>
      </c>
      <c r="E12" s="206">
        <f>Меню!M139</f>
        <v>228.62</v>
      </c>
      <c r="F12" s="206">
        <f>Меню!M257</f>
        <v>180</v>
      </c>
      <c r="G12" s="206">
        <f>Меню!M357</f>
        <v>231.3</v>
      </c>
      <c r="H12" s="206">
        <f>Меню!M474</f>
        <v>222.75</v>
      </c>
      <c r="I12" s="206">
        <f>Меню!M583</f>
        <v>225.6</v>
      </c>
      <c r="J12" s="206">
        <f>Меню!M694</f>
        <v>180</v>
      </c>
      <c r="K12" s="206">
        <f>Меню!M805</f>
        <v>227.808</v>
      </c>
      <c r="L12" s="206">
        <f>Меню!M898</f>
        <v>225.6</v>
      </c>
      <c r="M12" s="206" t="e">
        <f>Меню!#REF!</f>
        <v>#REF!</v>
      </c>
      <c r="N12" s="206">
        <f>Меню!M1114</f>
        <v>180</v>
      </c>
      <c r="O12" s="206">
        <f>Меню!M1268</f>
        <v>205.3</v>
      </c>
      <c r="P12" s="206">
        <f>Меню!M1393</f>
        <v>237.76</v>
      </c>
      <c r="Q12" s="206">
        <f>Меню!M1469</f>
        <v>180</v>
      </c>
      <c r="R12" s="206" t="e">
        <f t="shared" si="3"/>
        <v>#REF!</v>
      </c>
      <c r="S12" s="207" t="e">
        <f t="shared" si="1"/>
        <v>#REF!</v>
      </c>
      <c r="T12" s="196" t="e">
        <f t="shared" si="0"/>
        <v>#REF!</v>
      </c>
      <c r="U12" s="208" t="e">
        <f>S12*0.4/100</f>
        <v>#REF!</v>
      </c>
      <c r="V12" s="209" t="e">
        <f>S12*0.4/100</f>
        <v>#REF!</v>
      </c>
      <c r="W12" s="210" t="e">
        <f>S12*9.8/100</f>
        <v>#REF!</v>
      </c>
      <c r="X12" s="211" t="e">
        <f t="shared" si="2"/>
        <v>#REF!</v>
      </c>
    </row>
    <row r="13" spans="1:24" s="108" customFormat="1" ht="13.5" customHeight="1">
      <c r="A13" s="205">
        <v>9</v>
      </c>
      <c r="B13" s="212" t="s">
        <v>135</v>
      </c>
      <c r="C13" s="213">
        <v>200</v>
      </c>
      <c r="D13" s="206">
        <f>Меню!M14</f>
        <v>200</v>
      </c>
      <c r="E13" s="206">
        <f>Меню!M140</f>
        <v>200</v>
      </c>
      <c r="F13" s="206">
        <f>Меню!M258</f>
        <v>200</v>
      </c>
      <c r="G13" s="206">
        <f>Меню!M358</f>
        <v>200</v>
      </c>
      <c r="H13" s="206">
        <f>Меню!M475</f>
        <v>200</v>
      </c>
      <c r="I13" s="206">
        <f>Меню!M584</f>
        <v>200</v>
      </c>
      <c r="J13" s="206">
        <f>Меню!M695</f>
        <v>200</v>
      </c>
      <c r="K13" s="206">
        <f>Меню!M806</f>
        <v>200</v>
      </c>
      <c r="L13" s="206">
        <f>Меню!M899</f>
        <v>200</v>
      </c>
      <c r="M13" s="206" t="e">
        <f>Меню!#REF!</f>
        <v>#REF!</v>
      </c>
      <c r="N13" s="206">
        <f>Меню!M1115</f>
        <v>200</v>
      </c>
      <c r="O13" s="206">
        <f>Меню!M1269</f>
        <v>200</v>
      </c>
      <c r="P13" s="206">
        <f>Меню!M1394</f>
        <v>200</v>
      </c>
      <c r="Q13" s="206">
        <f>Меню!M1470</f>
        <v>200</v>
      </c>
      <c r="R13" s="206" t="e">
        <f t="shared" si="3"/>
        <v>#REF!</v>
      </c>
      <c r="S13" s="207" t="e">
        <f t="shared" si="1"/>
        <v>#REF!</v>
      </c>
      <c r="T13" s="196" t="e">
        <f t="shared" si="0"/>
        <v>#REF!</v>
      </c>
      <c r="U13" s="208" t="e">
        <f>S13*1.5/100</f>
        <v>#REF!</v>
      </c>
      <c r="V13" s="209" t="e">
        <f>S13*0.1/100</f>
        <v>#REF!</v>
      </c>
      <c r="W13" s="210" t="e">
        <f>S13*21.8/100</f>
        <v>#REF!</v>
      </c>
      <c r="X13" s="211" t="e">
        <f t="shared" si="2"/>
        <v>#REF!</v>
      </c>
    </row>
    <row r="14" spans="1:24" s="108" customFormat="1" ht="13.5" customHeight="1">
      <c r="A14" s="205">
        <v>10</v>
      </c>
      <c r="B14" s="212" t="s">
        <v>84</v>
      </c>
      <c r="C14" s="213">
        <v>20</v>
      </c>
      <c r="D14" s="206">
        <f>Меню!M15</f>
        <v>25</v>
      </c>
      <c r="E14" s="206">
        <f>Меню!M141</f>
        <v>35.2</v>
      </c>
      <c r="F14" s="206">
        <f>Меню!M259</f>
        <v>25</v>
      </c>
      <c r="G14" s="206">
        <f>Меню!M359</f>
        <v>0</v>
      </c>
      <c r="H14" s="206">
        <f>Меню!M476</f>
        <v>0</v>
      </c>
      <c r="I14" s="206">
        <f>Меню!M585</f>
        <v>21</v>
      </c>
      <c r="J14" s="206">
        <f>Меню!M696</f>
        <v>25</v>
      </c>
      <c r="K14" s="206">
        <f>Меню!M807</f>
        <v>25</v>
      </c>
      <c r="L14" s="206">
        <f>Меню!M900</f>
        <v>0</v>
      </c>
      <c r="M14" s="206" t="e">
        <f>Меню!#REF!</f>
        <v>#REF!</v>
      </c>
      <c r="N14" s="206">
        <f>Меню!M1116</f>
        <v>25</v>
      </c>
      <c r="O14" s="206">
        <f>Меню!M1270</f>
        <v>0</v>
      </c>
      <c r="P14" s="206">
        <f>Меню!M1395</f>
        <v>42.5</v>
      </c>
      <c r="Q14" s="206">
        <f>Меню!M1471</f>
        <v>25</v>
      </c>
      <c r="R14" s="206" t="e">
        <f t="shared" si="3"/>
        <v>#REF!</v>
      </c>
      <c r="S14" s="207" t="e">
        <f t="shared" si="1"/>
        <v>#REF!</v>
      </c>
      <c r="T14" s="196" t="e">
        <f t="shared" si="0"/>
        <v>#REF!</v>
      </c>
      <c r="U14" s="208" t="e">
        <f>S14*0.6/100</f>
        <v>#REF!</v>
      </c>
      <c r="V14" s="236" t="e">
        <f>S14*0/100</f>
        <v>#REF!</v>
      </c>
      <c r="W14" s="210" t="e">
        <f>S14*70.3/100</f>
        <v>#REF!</v>
      </c>
      <c r="X14" s="211" t="e">
        <f t="shared" si="2"/>
        <v>#REF!</v>
      </c>
    </row>
    <row r="15" spans="1:24" s="108" customFormat="1" ht="13.5" customHeight="1">
      <c r="A15" s="205">
        <v>11</v>
      </c>
      <c r="B15" s="212" t="s">
        <v>85</v>
      </c>
      <c r="C15" s="213">
        <v>45</v>
      </c>
      <c r="D15" s="206">
        <f>Меню!M16</f>
        <v>41</v>
      </c>
      <c r="E15" s="206">
        <f>Меню!M142</f>
        <v>62.2</v>
      </c>
      <c r="F15" s="206">
        <f>Меню!M260</f>
        <v>37</v>
      </c>
      <c r="G15" s="206">
        <f>Меню!M360</f>
        <v>45</v>
      </c>
      <c r="H15" s="206">
        <f>Меню!M477</f>
        <v>52.1</v>
      </c>
      <c r="I15" s="206">
        <f>Меню!M586</f>
        <v>20</v>
      </c>
      <c r="J15" s="206" t="e">
        <f>Меню!#REF!</f>
        <v>#REF!</v>
      </c>
      <c r="K15" s="206">
        <f>Меню!M808</f>
        <v>44.6</v>
      </c>
      <c r="L15" s="206">
        <f>Меню!M901</f>
        <v>30</v>
      </c>
      <c r="M15" s="206" t="e">
        <f>Меню!#REF!</f>
        <v>#REF!</v>
      </c>
      <c r="N15" s="206">
        <f>Меню!M1117</f>
        <v>58</v>
      </c>
      <c r="O15" s="206">
        <f>Меню!M1271</f>
        <v>35</v>
      </c>
      <c r="P15" s="206">
        <f>Меню!M1396</f>
        <v>77.5</v>
      </c>
      <c r="Q15" s="206">
        <f>Меню!M1472</f>
        <v>40.5</v>
      </c>
      <c r="R15" s="206" t="e">
        <f t="shared" si="3"/>
        <v>#REF!</v>
      </c>
      <c r="S15" s="207" t="e">
        <f t="shared" si="1"/>
        <v>#REF!</v>
      </c>
      <c r="T15" s="196" t="e">
        <f t="shared" si="0"/>
        <v>#REF!</v>
      </c>
      <c r="U15" s="208" t="e">
        <f>S15*1.5/100</f>
        <v>#REF!</v>
      </c>
      <c r="V15" s="209" t="e">
        <f>S15*0.1/100</f>
        <v>#REF!</v>
      </c>
      <c r="W15" s="210" t="e">
        <f>S15*99.8/100</f>
        <v>#REF!</v>
      </c>
      <c r="X15" s="211" t="e">
        <f t="shared" si="2"/>
        <v>#REF!</v>
      </c>
    </row>
    <row r="16" spans="1:24" s="108" customFormat="1" ht="13.5" customHeight="1">
      <c r="A16" s="205">
        <v>12</v>
      </c>
      <c r="B16" s="212" t="s">
        <v>197</v>
      </c>
      <c r="C16" s="213">
        <v>15</v>
      </c>
      <c r="D16" s="206">
        <f>Меню!M17</f>
        <v>20</v>
      </c>
      <c r="E16" s="206">
        <f>Меню!M143</f>
        <v>0</v>
      </c>
      <c r="F16" s="206">
        <f>Меню!M261</f>
        <v>0</v>
      </c>
      <c r="G16" s="206">
        <f>Меню!M361</f>
        <v>30</v>
      </c>
      <c r="H16" s="206">
        <f>Меню!M478</f>
        <v>0</v>
      </c>
      <c r="I16" s="206">
        <f>Меню!M587</f>
        <v>20</v>
      </c>
      <c r="J16" s="206">
        <f>Меню!M697</f>
        <v>0</v>
      </c>
      <c r="K16" s="206">
        <f>Меню!M809</f>
        <v>30</v>
      </c>
      <c r="L16" s="206">
        <f>Меню!M902</f>
        <v>20</v>
      </c>
      <c r="M16" s="206">
        <f>Меню!M1008</f>
        <v>30.2</v>
      </c>
      <c r="N16" s="206">
        <f>Меню!M1118</f>
        <v>0</v>
      </c>
      <c r="O16" s="206">
        <f>Меню!M1272</f>
        <v>20</v>
      </c>
      <c r="P16" s="206">
        <f>Меню!M1397</f>
        <v>0</v>
      </c>
      <c r="Q16" s="206">
        <f>Меню!M1473</f>
        <v>50</v>
      </c>
      <c r="R16" s="206">
        <f t="shared" si="3"/>
        <v>220.2</v>
      </c>
      <c r="S16" s="207">
        <f t="shared" si="1"/>
        <v>15.728571428571428</v>
      </c>
      <c r="T16" s="196">
        <f t="shared" si="0"/>
        <v>104.85714285714285</v>
      </c>
      <c r="U16" s="208"/>
      <c r="V16" s="209"/>
      <c r="W16" s="210"/>
      <c r="X16" s="211"/>
    </row>
    <row r="17" spans="1:24" s="108" customFormat="1" ht="13.5" customHeight="1">
      <c r="A17" s="205">
        <v>13</v>
      </c>
      <c r="B17" s="212" t="s">
        <v>317</v>
      </c>
      <c r="C17" s="213">
        <v>1.2</v>
      </c>
      <c r="D17" s="237">
        <f>Меню!M18</f>
        <v>2</v>
      </c>
      <c r="E17" s="237">
        <f>Меню!M144</f>
        <v>2</v>
      </c>
      <c r="F17" s="237">
        <f>Меню!M262</f>
        <v>3</v>
      </c>
      <c r="G17" s="237">
        <f>Меню!M362</f>
        <v>1</v>
      </c>
      <c r="H17" s="237">
        <f>Меню!M479</f>
        <v>2</v>
      </c>
      <c r="I17" s="237">
        <f>Меню!M588</f>
        <v>0</v>
      </c>
      <c r="J17" s="237">
        <f>Меню!M698</f>
        <v>2.5</v>
      </c>
      <c r="K17" s="237">
        <f>Меню!M810</f>
        <v>0</v>
      </c>
      <c r="L17" s="237">
        <f>Меню!M903</f>
        <v>2</v>
      </c>
      <c r="M17" s="237">
        <f>Меню!M1009</f>
        <v>1</v>
      </c>
      <c r="N17" s="237">
        <f>Меню!M1119</f>
        <v>2.5</v>
      </c>
      <c r="O17" s="237">
        <f>Меню!M1273</f>
        <v>0</v>
      </c>
      <c r="P17" s="237">
        <f>Меню!M1398</f>
        <v>3</v>
      </c>
      <c r="Q17" s="237">
        <f>Меню!M1474</f>
        <v>0</v>
      </c>
      <c r="R17" s="206">
        <f t="shared" si="3"/>
        <v>21</v>
      </c>
      <c r="S17" s="238">
        <f t="shared" si="1"/>
        <v>1.5</v>
      </c>
      <c r="T17" s="196">
        <f t="shared" si="0"/>
        <v>125</v>
      </c>
      <c r="U17" s="208">
        <f>S17*1.5/100</f>
        <v>0.0225</v>
      </c>
      <c r="V17" s="209">
        <f>S17*4.8/100</f>
        <v>0.072</v>
      </c>
      <c r="W17" s="210">
        <f>S17*81.2/100</f>
        <v>1.2180000000000002</v>
      </c>
      <c r="X17" s="211">
        <f t="shared" si="2"/>
        <v>5.61</v>
      </c>
    </row>
    <row r="18" spans="1:24" s="108" customFormat="1" ht="13.5" customHeight="1">
      <c r="A18" s="205">
        <v>14</v>
      </c>
      <c r="B18" s="212" t="s">
        <v>86</v>
      </c>
      <c r="C18" s="213">
        <v>0.4</v>
      </c>
      <c r="D18" s="237">
        <f>Меню!M19</f>
        <v>0.4</v>
      </c>
      <c r="E18" s="237">
        <f>Меню!M145</f>
        <v>0</v>
      </c>
      <c r="F18" s="237">
        <f>Меню!M263</f>
        <v>0.4</v>
      </c>
      <c r="G18" s="237">
        <f>Меню!M363</f>
        <v>0.4</v>
      </c>
      <c r="H18" s="237">
        <f>Меню!M480</f>
        <v>0.4</v>
      </c>
      <c r="I18" s="237">
        <f>Меню!M589</f>
        <v>15.4</v>
      </c>
      <c r="J18" s="237">
        <f>Меню!M699</f>
        <v>0</v>
      </c>
      <c r="K18" s="237">
        <f>Меню!M811</f>
        <v>0.4</v>
      </c>
      <c r="L18" s="237">
        <f>Меню!M904</f>
        <v>0.4</v>
      </c>
      <c r="M18" s="237">
        <f>Меню!M1010</f>
        <v>0.4</v>
      </c>
      <c r="N18" s="237">
        <f>Меню!M1120</f>
        <v>0.4</v>
      </c>
      <c r="O18" s="237">
        <f>Меню!M1274</f>
        <v>0.4</v>
      </c>
      <c r="P18" s="237">
        <f>Меню!M1399</f>
        <v>0.4</v>
      </c>
      <c r="Q18" s="237">
        <f>Меню!M1475</f>
        <v>0.8</v>
      </c>
      <c r="R18" s="206">
        <f t="shared" si="3"/>
        <v>20.199999999999992</v>
      </c>
      <c r="S18" s="238">
        <f t="shared" si="1"/>
        <v>1.4428571428571424</v>
      </c>
      <c r="T18" s="196">
        <f t="shared" si="0"/>
        <v>360.7142857142856</v>
      </c>
      <c r="U18" s="208">
        <f>S18*1.5/100</f>
        <v>0.021642857142857137</v>
      </c>
      <c r="V18" s="209">
        <f>S18*5.1/100</f>
        <v>0.07358571428571425</v>
      </c>
      <c r="W18" s="210">
        <f>S18*4/100</f>
        <v>0.0577142857142857</v>
      </c>
      <c r="X18" s="211">
        <f t="shared" si="2"/>
        <v>0.9796999999999996</v>
      </c>
    </row>
    <row r="19" spans="1:24" s="108" customFormat="1" ht="13.5" customHeight="1">
      <c r="A19" s="205">
        <v>15</v>
      </c>
      <c r="B19" s="212" t="s">
        <v>198</v>
      </c>
      <c r="C19" s="213">
        <v>105</v>
      </c>
      <c r="D19" s="206">
        <f>Меню!M20</f>
        <v>91.12</v>
      </c>
      <c r="E19" s="206">
        <f>Меню!M146</f>
        <v>114.75000000000001</v>
      </c>
      <c r="F19" s="206" t="e">
        <f>Меню!#REF!</f>
        <v>#REF!</v>
      </c>
      <c r="G19" s="206">
        <f>Меню!M364</f>
        <v>21.6</v>
      </c>
      <c r="H19" s="206">
        <f>Меню!M481</f>
        <v>152.73999999999998</v>
      </c>
      <c r="I19" s="206">
        <f>Меню!M590</f>
        <v>106.65</v>
      </c>
      <c r="J19" s="206">
        <f>Меню!M700</f>
        <v>186.44</v>
      </c>
      <c r="K19" s="206">
        <f>Меню!M812</f>
        <v>101.6</v>
      </c>
      <c r="L19" s="206">
        <f>Меню!M905</f>
        <v>21.76</v>
      </c>
      <c r="M19" s="206">
        <f>Меню!M1011</f>
        <v>107.44000000000001</v>
      </c>
      <c r="N19" s="206">
        <f>Меню!M1121</f>
        <v>103.76</v>
      </c>
      <c r="O19" s="206">
        <f>Меню!M1275</f>
        <v>107.44000000000001</v>
      </c>
      <c r="P19" s="206">
        <f>Меню!M1400</f>
        <v>85.68</v>
      </c>
      <c r="Q19" s="206">
        <f>Меню!M1476</f>
        <v>177.22</v>
      </c>
      <c r="R19" s="206" t="e">
        <f t="shared" si="3"/>
        <v>#REF!</v>
      </c>
      <c r="S19" s="207" t="e">
        <f t="shared" si="1"/>
        <v>#REF!</v>
      </c>
      <c r="T19" s="196" t="e">
        <f t="shared" si="0"/>
        <v>#REF!</v>
      </c>
      <c r="U19" s="208" t="e">
        <f>S19*17.1/100</f>
        <v>#REF!</v>
      </c>
      <c r="V19" s="209" t="e">
        <f>S19*10/100</f>
        <v>#REF!</v>
      </c>
      <c r="W19" s="210">
        <v>0</v>
      </c>
      <c r="X19" s="211" t="e">
        <f t="shared" si="2"/>
        <v>#REF!</v>
      </c>
    </row>
    <row r="20" spans="1:24" s="108" customFormat="1" ht="13.5" customHeight="1">
      <c r="A20" s="205">
        <v>16</v>
      </c>
      <c r="B20" s="212" t="s">
        <v>199</v>
      </c>
      <c r="C20" s="213">
        <v>60</v>
      </c>
      <c r="D20" s="206">
        <f>Меню!M21</f>
        <v>150.08</v>
      </c>
      <c r="E20" s="206">
        <f>Меню!M147</f>
        <v>25</v>
      </c>
      <c r="F20" s="206" t="e">
        <f>Меню!#REF!</f>
        <v>#REF!</v>
      </c>
      <c r="G20" s="206">
        <f>Меню!M365</f>
        <v>114.88600000000001</v>
      </c>
      <c r="H20" s="206">
        <f>Меню!M482</f>
        <v>136.68</v>
      </c>
      <c r="I20" s="206">
        <f>Меню!M591</f>
        <v>188.666</v>
      </c>
      <c r="J20" s="206">
        <f>Меню!M701</f>
        <v>0</v>
      </c>
      <c r="K20" s="206">
        <f>Меню!M813</f>
        <v>114.88600000000001</v>
      </c>
      <c r="L20" s="206">
        <f>Меню!M906</f>
        <v>0</v>
      </c>
      <c r="M20" s="206">
        <f>Меню!M1012</f>
        <v>162.8</v>
      </c>
      <c r="N20" s="206">
        <f>Меню!M1122</f>
        <v>0</v>
      </c>
      <c r="O20" s="206">
        <f>Меню!M1276</f>
        <v>0</v>
      </c>
      <c r="P20" s="206">
        <f>Меню!M1401</f>
        <v>40</v>
      </c>
      <c r="Q20" s="206">
        <f>Меню!M1477</f>
        <v>0</v>
      </c>
      <c r="R20" s="206" t="e">
        <f t="shared" si="3"/>
        <v>#REF!</v>
      </c>
      <c r="S20" s="207" t="e">
        <f t="shared" si="1"/>
        <v>#REF!</v>
      </c>
      <c r="T20" s="196" t="e">
        <f t="shared" si="0"/>
        <v>#REF!</v>
      </c>
      <c r="U20" s="208"/>
      <c r="V20" s="209"/>
      <c r="W20" s="210"/>
      <c r="X20" s="211"/>
    </row>
    <row r="21" spans="1:24" s="108" customFormat="1" ht="13.5" customHeight="1">
      <c r="A21" s="205">
        <v>17</v>
      </c>
      <c r="B21" s="212" t="s">
        <v>310</v>
      </c>
      <c r="C21" s="213">
        <v>80</v>
      </c>
      <c r="D21" s="206">
        <f>Меню!M22</f>
        <v>18.88</v>
      </c>
      <c r="E21" s="206">
        <f>Меню!M148</f>
        <v>63</v>
      </c>
      <c r="F21" s="206" t="e">
        <f>Меню!#REF!</f>
        <v>#REF!</v>
      </c>
      <c r="G21" s="206">
        <f>Меню!M366</f>
        <v>152.55</v>
      </c>
      <c r="H21" s="206">
        <f>Меню!M483</f>
        <v>59.28</v>
      </c>
      <c r="I21" s="206">
        <f>Меню!M592</f>
        <v>0</v>
      </c>
      <c r="J21" s="206">
        <f>Меню!M702</f>
        <v>72</v>
      </c>
      <c r="K21" s="206">
        <f>Меню!M814</f>
        <v>0</v>
      </c>
      <c r="L21" s="206">
        <f>Меню!M907</f>
        <v>216.45</v>
      </c>
      <c r="M21" s="206">
        <f>Меню!M1013</f>
        <v>0</v>
      </c>
      <c r="N21" s="206">
        <f>Меню!M1123</f>
        <v>172</v>
      </c>
      <c r="O21" s="206">
        <f>Меню!M1277</f>
        <v>103.95</v>
      </c>
      <c r="P21" s="206">
        <f>Меню!M1402</f>
        <v>10</v>
      </c>
      <c r="Q21" s="206">
        <f>Меню!M1478</f>
        <v>0</v>
      </c>
      <c r="R21" s="206" t="e">
        <f t="shared" si="3"/>
        <v>#REF!</v>
      </c>
      <c r="S21" s="207" t="e">
        <f t="shared" si="1"/>
        <v>#REF!</v>
      </c>
      <c r="T21" s="196" t="e">
        <f t="shared" si="0"/>
        <v>#REF!</v>
      </c>
      <c r="U21" s="208" t="e">
        <f>S21*4.5/100</f>
        <v>#REF!</v>
      </c>
      <c r="V21" s="209" t="e">
        <f>S21*5.9/100</f>
        <v>#REF!</v>
      </c>
      <c r="W21" s="210">
        <v>0</v>
      </c>
      <c r="X21" s="211" t="e">
        <f t="shared" si="2"/>
        <v>#REF!</v>
      </c>
    </row>
    <row r="22" spans="1:24" s="108" customFormat="1" ht="13.5" customHeight="1">
      <c r="A22" s="205">
        <v>18</v>
      </c>
      <c r="B22" s="212" t="s">
        <v>127</v>
      </c>
      <c r="C22" s="213">
        <v>20</v>
      </c>
      <c r="D22" s="206">
        <f>Меню!M23</f>
        <v>0</v>
      </c>
      <c r="E22" s="206">
        <f>Меню!M149</f>
        <v>102</v>
      </c>
      <c r="F22" s="206" t="e">
        <f>Меню!#REF!</f>
        <v>#REF!</v>
      </c>
      <c r="G22" s="206">
        <f>Меню!M367</f>
        <v>0</v>
      </c>
      <c r="H22" s="206">
        <f>Меню!M484</f>
        <v>43</v>
      </c>
      <c r="I22" s="206">
        <f>Меню!M593</f>
        <v>0</v>
      </c>
      <c r="J22" s="206">
        <f>Меню!M703</f>
        <v>21</v>
      </c>
      <c r="K22" s="206">
        <f>Меню!M815</f>
        <v>0</v>
      </c>
      <c r="L22" s="206">
        <f>Меню!M908</f>
        <v>102</v>
      </c>
      <c r="M22" s="206">
        <f>Меню!M1014</f>
        <v>0</v>
      </c>
      <c r="N22" s="206">
        <f>Меню!M1124</f>
        <v>0</v>
      </c>
      <c r="O22" s="206">
        <f>Меню!M1278</f>
        <v>21</v>
      </c>
      <c r="P22" s="206">
        <f>Меню!M1403</f>
        <v>0</v>
      </c>
      <c r="Q22" s="206">
        <f>Меню!M1479</f>
        <v>0</v>
      </c>
      <c r="R22" s="206" t="e">
        <f t="shared" si="3"/>
        <v>#REF!</v>
      </c>
      <c r="S22" s="207" t="e">
        <f t="shared" si="1"/>
        <v>#REF!</v>
      </c>
      <c r="T22" s="196" t="e">
        <f t="shared" si="0"/>
        <v>#REF!</v>
      </c>
      <c r="U22" s="208" t="e">
        <f>S22*12.1/100</f>
        <v>#REF!</v>
      </c>
      <c r="V22" s="209" t="e">
        <f>S22*19/100</f>
        <v>#REF!</v>
      </c>
      <c r="W22" s="210" t="e">
        <f>S22*4.2/100</f>
        <v>#REF!</v>
      </c>
      <c r="X22" s="211" t="e">
        <f t="shared" si="2"/>
        <v>#REF!</v>
      </c>
    </row>
    <row r="23" spans="1:24" s="108" customFormat="1" ht="22.5" customHeight="1">
      <c r="A23" s="205">
        <v>19</v>
      </c>
      <c r="B23" s="234" t="s">
        <v>311</v>
      </c>
      <c r="C23" s="213">
        <v>300</v>
      </c>
      <c r="D23" s="206">
        <f>Меню!M24</f>
        <v>308.8571428571429</v>
      </c>
      <c r="E23" s="206">
        <f>Меню!M150</f>
        <v>382</v>
      </c>
      <c r="F23" s="206">
        <f>Меню!M264</f>
        <v>257</v>
      </c>
      <c r="G23" s="206">
        <f>Меню!M368</f>
        <v>122.85714285714286</v>
      </c>
      <c r="H23" s="206" t="e">
        <f>Меню!M485</f>
        <v>#REF!</v>
      </c>
      <c r="I23" s="206">
        <f>Меню!M594</f>
        <v>172</v>
      </c>
      <c r="J23" s="206">
        <f>Меню!M704</f>
        <v>305</v>
      </c>
      <c r="K23" s="206">
        <f>Меню!M816</f>
        <v>281</v>
      </c>
      <c r="L23" s="206">
        <f>Меню!M909</f>
        <v>154.85714285714286</v>
      </c>
      <c r="M23" s="206">
        <f>Меню!M1015</f>
        <v>310</v>
      </c>
      <c r="N23" s="206">
        <f>Меню!M1125</f>
        <v>312</v>
      </c>
      <c r="O23" s="206">
        <f>Меню!M1279</f>
        <v>222.85714285714286</v>
      </c>
      <c r="P23" s="206">
        <f>Меню!M1404</f>
        <v>262</v>
      </c>
      <c r="Q23" s="206">
        <f>Меню!M1480</f>
        <v>255</v>
      </c>
      <c r="R23" s="206" t="e">
        <f t="shared" si="3"/>
        <v>#REF!</v>
      </c>
      <c r="S23" s="207" t="e">
        <f t="shared" si="1"/>
        <v>#REF!</v>
      </c>
      <c r="T23" s="196" t="e">
        <f t="shared" si="0"/>
        <v>#REF!</v>
      </c>
      <c r="U23" s="208" t="e">
        <f>S23*2.8/100</f>
        <v>#REF!</v>
      </c>
      <c r="V23" s="209" t="e">
        <f>S23*3.2/100</f>
        <v>#REF!</v>
      </c>
      <c r="W23" s="210" t="e">
        <f>S23*4.7/100</f>
        <v>#REF!</v>
      </c>
      <c r="X23" s="211" t="e">
        <f t="shared" si="2"/>
        <v>#REF!</v>
      </c>
    </row>
    <row r="24" spans="1:24" s="108" customFormat="1" ht="27" customHeight="1">
      <c r="A24" s="205">
        <v>20</v>
      </c>
      <c r="B24" s="234" t="s">
        <v>312</v>
      </c>
      <c r="C24" s="213">
        <v>180</v>
      </c>
      <c r="D24" s="206">
        <f>Меню!M25</f>
        <v>206</v>
      </c>
      <c r="E24" s="206">
        <f>Меню!M151</f>
        <v>90</v>
      </c>
      <c r="F24" s="206">
        <f>Меню!M266</f>
        <v>206</v>
      </c>
      <c r="G24" s="206">
        <f>Меню!M369</f>
        <v>206</v>
      </c>
      <c r="H24" s="206">
        <f>Меню!M486</f>
        <v>206</v>
      </c>
      <c r="I24" s="206">
        <f>Меню!M595</f>
        <v>206</v>
      </c>
      <c r="J24" s="206">
        <f>Меню!M705</f>
        <v>206</v>
      </c>
      <c r="K24" s="206">
        <f>Меню!M817</f>
        <v>206</v>
      </c>
      <c r="L24" s="206">
        <f>Меню!M910</f>
        <v>206</v>
      </c>
      <c r="M24" s="206">
        <f>Меню!M1016</f>
        <v>90</v>
      </c>
      <c r="N24" s="206">
        <f>Меню!M1126</f>
        <v>206</v>
      </c>
      <c r="O24" s="206">
        <f>Меню!M1280</f>
        <v>206</v>
      </c>
      <c r="P24" s="206">
        <f>Меню!M1405</f>
        <v>206</v>
      </c>
      <c r="Q24" s="206">
        <f>Меню!M1481</f>
        <v>206</v>
      </c>
      <c r="R24" s="206">
        <f t="shared" si="3"/>
        <v>2652</v>
      </c>
      <c r="S24" s="207">
        <f t="shared" si="1"/>
        <v>189.42857142857142</v>
      </c>
      <c r="T24" s="196">
        <f t="shared" si="0"/>
        <v>105.23809523809523</v>
      </c>
      <c r="U24" s="208"/>
      <c r="V24" s="209"/>
      <c r="W24" s="210"/>
      <c r="X24" s="211"/>
    </row>
    <row r="25" spans="1:24" s="108" customFormat="1" ht="24" customHeight="1">
      <c r="A25" s="205">
        <v>21</v>
      </c>
      <c r="B25" s="234" t="s">
        <v>313</v>
      </c>
      <c r="C25" s="213">
        <v>60</v>
      </c>
      <c r="D25" s="206">
        <f>Меню!M26</f>
        <v>69</v>
      </c>
      <c r="E25" s="206">
        <f>Меню!M152</f>
        <v>77</v>
      </c>
      <c r="F25" s="206">
        <f>Меню!M267</f>
        <v>100</v>
      </c>
      <c r="G25" s="206">
        <f>Меню!M370</f>
        <v>0</v>
      </c>
      <c r="H25" s="206">
        <f>Меню!M487</f>
        <v>71</v>
      </c>
      <c r="I25" s="206">
        <f>Меню!M596</f>
        <v>0</v>
      </c>
      <c r="J25" s="206">
        <f>Меню!M706</f>
        <v>100</v>
      </c>
      <c r="K25" s="206">
        <f>Меню!M818</f>
        <v>0</v>
      </c>
      <c r="L25" s="206">
        <f>Меню!M911</f>
        <v>100</v>
      </c>
      <c r="M25" s="206">
        <f>Меню!M1017</f>
        <v>77</v>
      </c>
      <c r="N25" s="206">
        <f>Меню!M1127</f>
        <v>100</v>
      </c>
      <c r="O25" s="206">
        <f>Меню!M1281</f>
        <v>0</v>
      </c>
      <c r="P25" s="206">
        <f>Меню!M1406</f>
        <v>0</v>
      </c>
      <c r="Q25" s="206">
        <f>Меню!M1482</f>
        <v>100</v>
      </c>
      <c r="R25" s="206">
        <f t="shared" si="3"/>
        <v>794</v>
      </c>
      <c r="S25" s="207">
        <f t="shared" si="1"/>
        <v>56.714285714285715</v>
      </c>
      <c r="T25" s="196">
        <f t="shared" si="0"/>
        <v>94.52380952380953</v>
      </c>
      <c r="U25" s="208">
        <f>S25*14/100</f>
        <v>7.94</v>
      </c>
      <c r="V25" s="209">
        <f>S25*9/100</f>
        <v>5.104285714285714</v>
      </c>
      <c r="W25" s="210">
        <f>S25*2.8/100</f>
        <v>1.5879999999999999</v>
      </c>
      <c r="X25" s="211">
        <f t="shared" si="2"/>
        <v>84.05057142857143</v>
      </c>
    </row>
    <row r="26" spans="1:24" s="108" customFormat="1" ht="27" customHeight="1">
      <c r="A26" s="205">
        <v>22</v>
      </c>
      <c r="B26" s="234" t="s">
        <v>314</v>
      </c>
      <c r="C26" s="213">
        <v>10</v>
      </c>
      <c r="D26" s="206">
        <f>Меню!M27</f>
        <v>10</v>
      </c>
      <c r="E26" s="206">
        <f>Меню!M153</f>
        <v>7.285714285714286</v>
      </c>
      <c r="F26" s="206">
        <f>Меню!M268</f>
        <v>0</v>
      </c>
      <c r="G26" s="206">
        <f>Меню!M371</f>
        <v>17</v>
      </c>
      <c r="H26" s="206">
        <f>Меню!M488</f>
        <v>7</v>
      </c>
      <c r="I26" s="206">
        <f>Меню!M597</f>
        <v>10</v>
      </c>
      <c r="J26" s="206">
        <f>Меню!M707</f>
        <v>12.5</v>
      </c>
      <c r="K26" s="206">
        <f>Меню!M819</f>
        <v>10</v>
      </c>
      <c r="L26" s="206">
        <f>Меню!M912</f>
        <v>0</v>
      </c>
      <c r="M26" s="206">
        <f>Меню!M1018</f>
        <v>17.7</v>
      </c>
      <c r="N26" s="206">
        <f>Меню!M1128</f>
        <v>28</v>
      </c>
      <c r="O26" s="206">
        <f>Меню!M1282</f>
        <v>8</v>
      </c>
      <c r="P26" s="206">
        <f>Меню!M1407</f>
        <v>15</v>
      </c>
      <c r="Q26" s="206">
        <f>Меню!M1484</f>
        <v>5</v>
      </c>
      <c r="R26" s="206">
        <f t="shared" si="3"/>
        <v>147.48571428571427</v>
      </c>
      <c r="S26" s="207">
        <f t="shared" si="1"/>
        <v>10.53469387755102</v>
      </c>
      <c r="T26" s="196">
        <f t="shared" si="0"/>
        <v>105.3469387755102</v>
      </c>
      <c r="U26" s="208">
        <f>S26*3/100</f>
        <v>0.3160408163265306</v>
      </c>
      <c r="V26" s="209">
        <f>S26*10/100</f>
        <v>1.053469387755102</v>
      </c>
      <c r="W26" s="210">
        <f>S26*2.9/100</f>
        <v>0.30550612244897957</v>
      </c>
      <c r="X26" s="211">
        <f t="shared" si="2"/>
        <v>11.96741224489796</v>
      </c>
    </row>
    <row r="27" spans="1:24" s="108" customFormat="1" ht="15.75" customHeight="1">
      <c r="A27" s="205">
        <v>23</v>
      </c>
      <c r="B27" s="212" t="s">
        <v>315</v>
      </c>
      <c r="C27" s="213">
        <v>12</v>
      </c>
      <c r="D27" s="206">
        <f>Меню!M28</f>
        <v>37</v>
      </c>
      <c r="E27" s="206">
        <f>Меню!M154</f>
        <v>0</v>
      </c>
      <c r="F27" s="206">
        <f>Меню!M269</f>
        <v>21</v>
      </c>
      <c r="G27" s="206">
        <f>Меню!M372</f>
        <v>11</v>
      </c>
      <c r="H27" s="206">
        <f>Меню!M489</f>
        <v>0</v>
      </c>
      <c r="I27" s="206">
        <f>Меню!M598</f>
        <v>21</v>
      </c>
      <c r="J27" s="206">
        <f>Меню!M708</f>
        <v>0</v>
      </c>
      <c r="K27" s="206">
        <f>Меню!M820</f>
        <v>21</v>
      </c>
      <c r="L27" s="206">
        <f>Меню!M913</f>
        <v>21</v>
      </c>
      <c r="M27" s="206">
        <f>Меню!M1019</f>
        <v>0</v>
      </c>
      <c r="N27" s="206">
        <f>Меню!M1129</f>
        <v>21</v>
      </c>
      <c r="O27" s="206">
        <f>Меню!M1283</f>
        <v>0</v>
      </c>
      <c r="P27" s="206">
        <f>Меню!M1408</f>
        <v>0</v>
      </c>
      <c r="Q27" s="206">
        <f>Меню!M1485</f>
        <v>0</v>
      </c>
      <c r="R27" s="206">
        <f t="shared" si="3"/>
        <v>153</v>
      </c>
      <c r="S27" s="207">
        <f t="shared" si="1"/>
        <v>10.928571428571429</v>
      </c>
      <c r="T27" s="196">
        <f t="shared" si="0"/>
        <v>91.07142857142857</v>
      </c>
      <c r="U27" s="208">
        <f>S27*23/100</f>
        <v>2.513571428571429</v>
      </c>
      <c r="V27" s="209">
        <f>S27*29/100</f>
        <v>3.1692857142857145</v>
      </c>
      <c r="W27" s="210">
        <v>0</v>
      </c>
      <c r="X27" s="211">
        <f t="shared" si="2"/>
        <v>38.57785714285714</v>
      </c>
    </row>
    <row r="28" spans="1:24" s="108" customFormat="1" ht="15.75" customHeight="1">
      <c r="A28" s="205">
        <v>24</v>
      </c>
      <c r="B28" s="212" t="s">
        <v>90</v>
      </c>
      <c r="C28" s="213">
        <v>35</v>
      </c>
      <c r="D28" s="206">
        <f>Меню!M29</f>
        <v>63.16</v>
      </c>
      <c r="E28" s="206">
        <f>Меню!M155</f>
        <v>40</v>
      </c>
      <c r="F28" s="206">
        <f>Меню!M270</f>
        <v>31.66</v>
      </c>
      <c r="G28" s="206">
        <f>Меню!M373</f>
        <v>48</v>
      </c>
      <c r="H28" s="206">
        <f>Меню!M490</f>
        <v>39.9</v>
      </c>
      <c r="I28" s="206">
        <f>Меню!M599</f>
        <v>28</v>
      </c>
      <c r="J28" s="206">
        <f>Меню!M709</f>
        <v>34</v>
      </c>
      <c r="K28" s="206">
        <f>Меню!M821</f>
        <v>43.5</v>
      </c>
      <c r="L28" s="206">
        <f>Меню!M914</f>
        <v>25</v>
      </c>
      <c r="M28" s="206">
        <f>Меню!M1020</f>
        <v>25.3</v>
      </c>
      <c r="N28" s="206">
        <f>Меню!M1130</f>
        <v>39</v>
      </c>
      <c r="O28" s="206">
        <f>Меню!M1284</f>
        <v>25</v>
      </c>
      <c r="P28" s="206">
        <f>Меню!M1409</f>
        <v>38</v>
      </c>
      <c r="Q28" s="206">
        <f>Меню!M1486</f>
        <v>0</v>
      </c>
      <c r="R28" s="206">
        <f t="shared" si="3"/>
        <v>480.52000000000004</v>
      </c>
      <c r="S28" s="207">
        <f t="shared" si="1"/>
        <v>34.322857142857146</v>
      </c>
      <c r="T28" s="196">
        <f t="shared" si="0"/>
        <v>98.06530612244899</v>
      </c>
      <c r="U28" s="208">
        <f>S28*0.8/100</f>
        <v>0.2745828571428572</v>
      </c>
      <c r="V28" s="209">
        <f>S28*72.5/100</f>
        <v>24.884071428571428</v>
      </c>
      <c r="W28" s="210">
        <f>S28*2/100</f>
        <v>0.6864571428571429</v>
      </c>
      <c r="X28" s="211">
        <f t="shared" si="2"/>
        <v>227.80080285714286</v>
      </c>
    </row>
    <row r="29" spans="1:24" s="108" customFormat="1" ht="15.75" customHeight="1">
      <c r="A29" s="205">
        <v>25</v>
      </c>
      <c r="B29" s="212" t="s">
        <v>63</v>
      </c>
      <c r="C29" s="213">
        <v>18</v>
      </c>
      <c r="D29" s="206">
        <f>Меню!M30</f>
        <v>22</v>
      </c>
      <c r="E29" s="206">
        <f>Меню!M156</f>
        <v>10.5</v>
      </c>
      <c r="F29" s="206">
        <f>Меню!M271</f>
        <v>26</v>
      </c>
      <c r="G29" s="206">
        <f>Меню!M374</f>
        <v>27</v>
      </c>
      <c r="H29" s="206">
        <f>Меню!M491</f>
        <v>18.6</v>
      </c>
      <c r="I29" s="206">
        <f>Меню!M600</f>
        <v>22</v>
      </c>
      <c r="J29" s="206">
        <f>Меню!M710</f>
        <v>5</v>
      </c>
      <c r="K29" s="206">
        <f>Меню!M822</f>
        <v>12</v>
      </c>
      <c r="L29" s="206">
        <f>Меню!M915</f>
        <v>5</v>
      </c>
      <c r="M29" s="206">
        <f>Меню!M1021</f>
        <v>18</v>
      </c>
      <c r="N29" s="206" t="e">
        <f>Меню!M1131</f>
        <v>#REF!</v>
      </c>
      <c r="O29" s="206">
        <f>Меню!M1285</f>
        <v>23</v>
      </c>
      <c r="P29" s="206">
        <f>Меню!M1410</f>
        <v>56.5</v>
      </c>
      <c r="Q29" s="206">
        <f>Меню!M1487</f>
        <v>14</v>
      </c>
      <c r="R29" s="206" t="e">
        <f t="shared" si="3"/>
        <v>#REF!</v>
      </c>
      <c r="S29" s="207" t="e">
        <f t="shared" si="1"/>
        <v>#REF!</v>
      </c>
      <c r="T29" s="196" t="e">
        <f t="shared" si="0"/>
        <v>#REF!</v>
      </c>
      <c r="U29" s="208">
        <v>0</v>
      </c>
      <c r="V29" s="209" t="e">
        <f>S29*99.9/100</f>
        <v>#REF!</v>
      </c>
      <c r="W29" s="210">
        <v>0</v>
      </c>
      <c r="X29" s="211" t="e">
        <f t="shared" si="2"/>
        <v>#REF!</v>
      </c>
    </row>
    <row r="30" spans="1:24" s="108" customFormat="1" ht="15.75" customHeight="1">
      <c r="A30" s="205">
        <v>26</v>
      </c>
      <c r="B30" s="212" t="s">
        <v>316</v>
      </c>
      <c r="C30" s="213">
        <v>40</v>
      </c>
      <c r="D30" s="206">
        <f>Меню!M31</f>
        <v>85</v>
      </c>
      <c r="E30" s="206">
        <f>Меню!M157</f>
        <v>19.5</v>
      </c>
      <c r="F30" s="206">
        <f>Меню!M272</f>
        <v>40</v>
      </c>
      <c r="G30" s="206">
        <f>Меню!M375</f>
        <v>62</v>
      </c>
      <c r="H30" s="206">
        <f>Меню!M492</f>
        <v>26.3</v>
      </c>
      <c r="I30" s="206">
        <f>Меню!M601</f>
        <v>40</v>
      </c>
      <c r="J30" s="206">
        <f>Меню!M711</f>
        <v>0</v>
      </c>
      <c r="K30" s="206">
        <f>Меню!M823</f>
        <v>3</v>
      </c>
      <c r="L30" s="206">
        <f>Меню!M916</f>
        <v>60</v>
      </c>
      <c r="M30" s="206">
        <f>Меню!M1022</f>
        <v>2.3</v>
      </c>
      <c r="N30" s="206">
        <f>Меню!M1132</f>
        <v>26.8</v>
      </c>
      <c r="O30" s="206">
        <f>Меню!M1286</f>
        <v>103.6</v>
      </c>
      <c r="P30" s="206">
        <f>Меню!M1411</f>
        <v>15</v>
      </c>
      <c r="Q30" s="206">
        <f>Меню!M1489</f>
        <v>45</v>
      </c>
      <c r="R30" s="206">
        <f t="shared" si="3"/>
        <v>528.5</v>
      </c>
      <c r="S30" s="207">
        <f t="shared" si="1"/>
        <v>37.75</v>
      </c>
      <c r="T30" s="196">
        <f t="shared" si="0"/>
        <v>94.375</v>
      </c>
      <c r="U30" s="239">
        <f>S30*12.7/100</f>
        <v>4.79425</v>
      </c>
      <c r="V30" s="240">
        <f>S30*11.5/100</f>
        <v>4.34125</v>
      </c>
      <c r="W30" s="241">
        <f>S30*0.7/100</f>
        <v>0.26425</v>
      </c>
      <c r="X30" s="242">
        <f t="shared" si="2"/>
        <v>59.30525</v>
      </c>
    </row>
    <row r="31" spans="1:24" s="108" customFormat="1" ht="15.75" customHeight="1">
      <c r="A31" s="205">
        <v>27</v>
      </c>
      <c r="B31" s="212" t="s">
        <v>318</v>
      </c>
      <c r="C31" s="213">
        <v>2</v>
      </c>
      <c r="D31" s="237">
        <f>Меню!M33</f>
        <v>0</v>
      </c>
      <c r="E31" s="237">
        <f>Меню!M159</f>
        <v>1.4</v>
      </c>
      <c r="F31" s="237">
        <f>Меню!M274</f>
        <v>0</v>
      </c>
      <c r="G31" s="237">
        <f>Меню!M377</f>
        <v>0</v>
      </c>
      <c r="H31" s="237">
        <f>Меню!M494</f>
        <v>0.7</v>
      </c>
      <c r="I31" s="237">
        <f>Меню!M603</f>
        <v>0</v>
      </c>
      <c r="J31" s="237">
        <f>Меню!M713</f>
        <v>0</v>
      </c>
      <c r="K31" s="237">
        <f>Меню!M825</f>
        <v>0</v>
      </c>
      <c r="L31" s="237">
        <f>Меню!M918</f>
        <v>0</v>
      </c>
      <c r="M31" s="237">
        <f>Меню!M1024</f>
        <v>0</v>
      </c>
      <c r="N31" s="237">
        <f>Меню!M1134</f>
        <v>0</v>
      </c>
      <c r="O31" s="237">
        <f>Меню!M1288</f>
        <v>0</v>
      </c>
      <c r="P31" s="237">
        <f>Меню!M1413</f>
        <v>1.4</v>
      </c>
      <c r="Q31" s="237">
        <f>Меню!M1491</f>
        <v>0</v>
      </c>
      <c r="R31" s="206">
        <f t="shared" si="3"/>
        <v>3.4999999999999996</v>
      </c>
      <c r="S31" s="238">
        <f t="shared" si="1"/>
        <v>0.24999999999999997</v>
      </c>
      <c r="T31" s="196">
        <f t="shared" si="0"/>
        <v>12.499999999999998</v>
      </c>
      <c r="U31" s="208"/>
      <c r="V31" s="209"/>
      <c r="W31" s="209"/>
      <c r="X31" s="207"/>
    </row>
    <row r="32" spans="1:24" s="108" customFormat="1" ht="15.75" customHeight="1" thickBot="1">
      <c r="A32" s="205">
        <v>28</v>
      </c>
      <c r="B32" s="243" t="s">
        <v>319</v>
      </c>
      <c r="C32" s="244">
        <v>7</v>
      </c>
      <c r="D32" s="245">
        <v>7</v>
      </c>
      <c r="E32" s="245">
        <v>7</v>
      </c>
      <c r="F32" s="245">
        <v>7</v>
      </c>
      <c r="G32" s="245">
        <v>7</v>
      </c>
      <c r="H32" s="245">
        <v>7</v>
      </c>
      <c r="I32" s="245">
        <v>7</v>
      </c>
      <c r="J32" s="245">
        <v>7</v>
      </c>
      <c r="K32" s="245">
        <v>7</v>
      </c>
      <c r="L32" s="245">
        <v>7</v>
      </c>
      <c r="M32" s="245">
        <v>7</v>
      </c>
      <c r="N32" s="245">
        <v>7</v>
      </c>
      <c r="O32" s="245">
        <v>7</v>
      </c>
      <c r="P32" s="245">
        <v>7</v>
      </c>
      <c r="Q32" s="245">
        <v>7</v>
      </c>
      <c r="R32" s="245">
        <f t="shared" si="3"/>
        <v>98</v>
      </c>
      <c r="S32" s="246">
        <f t="shared" si="1"/>
        <v>7</v>
      </c>
      <c r="T32" s="247">
        <f t="shared" si="0"/>
        <v>100</v>
      </c>
      <c r="U32" s="208"/>
      <c r="V32" s="209"/>
      <c r="W32" s="209"/>
      <c r="X32" s="207"/>
    </row>
    <row r="33" spans="1:26" ht="20.25" customHeight="1">
      <c r="A33" s="560" t="s">
        <v>516</v>
      </c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108"/>
      <c r="Z33" s="108"/>
    </row>
    <row r="34" spans="1:26" ht="16.5" customHeight="1">
      <c r="A34" s="558" t="s">
        <v>189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248"/>
      <c r="Y34" s="108"/>
      <c r="Z34" s="108"/>
    </row>
    <row r="35" spans="1:26" ht="18.75" customHeight="1">
      <c r="A35" s="558" t="s">
        <v>269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108"/>
      <c r="Z35" s="108"/>
    </row>
    <row r="36" spans="1:26" ht="12.75">
      <c r="A36" s="214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164"/>
      <c r="V36" s="164"/>
      <c r="W36" s="164"/>
      <c r="X36" s="164"/>
      <c r="Y36" s="108"/>
      <c r="Z36" s="108"/>
    </row>
    <row r="37" spans="1:43" ht="12.75">
      <c r="A37" s="214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</row>
    <row r="38" spans="1:43" ht="12.75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</row>
    <row r="39" spans="1:43" ht="12.75">
      <c r="A39" s="214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</row>
    <row r="40" spans="1:43" ht="12.75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</row>
    <row r="41" spans="1:43" ht="12.75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</row>
    <row r="42" spans="1:43" ht="12.75">
      <c r="A42" s="214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</row>
    <row r="43" spans="1:43" ht="12.75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</row>
    <row r="44" spans="1:43" ht="12.75">
      <c r="A44" s="2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</row>
    <row r="45" spans="1:43" ht="12.75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</row>
    <row r="46" spans="1:43" ht="12.75">
      <c r="A46" s="214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</row>
    <row r="47" spans="1:43" ht="12.75">
      <c r="A47" s="214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</row>
    <row r="48" spans="1:43" ht="12.75">
      <c r="A48" s="214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</row>
    <row r="49" spans="1:43" ht="12.75">
      <c r="A49" s="214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</row>
    <row r="50" spans="1:43" ht="12.75">
      <c r="A50" s="214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</row>
    <row r="51" spans="1:43" ht="12.75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</row>
    <row r="52" spans="1:43" ht="12.75">
      <c r="A52" s="214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</row>
    <row r="53" spans="1:43" ht="12.75">
      <c r="A53" s="214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</row>
    <row r="54" spans="1:43" ht="12.75">
      <c r="A54" s="214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</row>
    <row r="55" spans="1:43" ht="12.75">
      <c r="A55" s="214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</row>
    <row r="56" spans="1:43" ht="12.75">
      <c r="A56" s="214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</row>
    <row r="57" spans="1:43" ht="12.75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</row>
    <row r="58" spans="1:43" ht="12.75">
      <c r="A58" s="214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</row>
    <row r="59" spans="1:43" ht="12.75">
      <c r="A59" s="214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</row>
    <row r="60" spans="1:43" ht="12.75">
      <c r="A60" s="214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</row>
    <row r="61" spans="1:43" ht="12.75">
      <c r="A61" s="214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</row>
    <row r="62" spans="1:43" ht="12.75">
      <c r="A62" s="214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</row>
    <row r="63" spans="1:43" ht="12.75">
      <c r="A63" s="214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</row>
    <row r="64" spans="1:43" ht="12.75">
      <c r="A64" s="214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</row>
    <row r="65" spans="1:43" ht="12.75">
      <c r="A65" s="214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</row>
    <row r="66" spans="1:43" ht="12.75">
      <c r="A66" s="214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</row>
    <row r="67" spans="1:43" ht="12.75">
      <c r="A67" s="214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</row>
    <row r="68" spans="1:58" ht="12.75">
      <c r="A68" s="214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</row>
    <row r="69" spans="1:58" ht="12.75">
      <c r="A69" s="214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</row>
    <row r="70" spans="1:58" ht="12.75">
      <c r="A70" s="214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</row>
    <row r="71" spans="1:58" ht="12.75">
      <c r="A71" s="214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</row>
    <row r="72" spans="1:58" ht="12.75">
      <c r="A72" s="214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</row>
    <row r="73" spans="1:58" ht="12.75">
      <c r="A73" s="214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</row>
    <row r="74" spans="1:58" ht="12.75">
      <c r="A74" s="214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</row>
    <row r="75" spans="1:58" ht="12.75">
      <c r="A75" s="214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</row>
    <row r="76" spans="1:58" ht="12.75">
      <c r="A76" s="214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</row>
    <row r="77" spans="1:58" ht="12.75">
      <c r="A77" s="214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</row>
    <row r="78" spans="1:43" ht="12.75">
      <c r="A78" s="214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</row>
    <row r="79" spans="1:43" ht="12.75">
      <c r="A79" s="214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</row>
    <row r="80" spans="1:43" ht="12.75">
      <c r="A80" s="214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</row>
    <row r="81" spans="1:43" ht="14.25" customHeight="1">
      <c r="A81" s="214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</row>
    <row r="82" spans="1:43" ht="12.75">
      <c r="A82" s="214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</row>
    <row r="83" spans="1:43" ht="12.75">
      <c r="A83" s="214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</row>
    <row r="84" spans="1:43" ht="12.75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</row>
    <row r="85" spans="1:43" ht="12.75">
      <c r="A85" s="214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</row>
    <row r="86" spans="1:43" ht="12.75">
      <c r="A86" s="214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</row>
    <row r="87" spans="1:43" ht="12.75">
      <c r="A87" s="214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</row>
    <row r="88" spans="1:43" ht="12.75">
      <c r="A88" s="214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</row>
    <row r="89" spans="1:43" ht="12.75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</row>
    <row r="90" spans="1:43" ht="12.75">
      <c r="A90" s="214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</row>
    <row r="91" spans="1:43" ht="12.75">
      <c r="A91" s="214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</row>
    <row r="92" spans="1:43" ht="12.75">
      <c r="A92" s="214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</row>
    <row r="93" spans="1:43" ht="12.75">
      <c r="A93" s="214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</row>
    <row r="94" spans="1:43" ht="12.75">
      <c r="A94" s="214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</row>
    <row r="95" spans="1:43" ht="12.75">
      <c r="A95" s="214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</row>
    <row r="96" spans="1:43" ht="12.75">
      <c r="A96" s="214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</row>
    <row r="97" spans="1:43" ht="12.75">
      <c r="A97" s="214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</row>
    <row r="98" spans="1:43" ht="12.75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</row>
    <row r="99" spans="1:43" ht="12.75">
      <c r="A99" s="214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</row>
    <row r="100" spans="1:43" ht="12.75">
      <c r="A100" s="214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</row>
    <row r="101" spans="1:43" ht="12.75">
      <c r="A101" s="214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</row>
    <row r="102" spans="1:43" ht="12.75">
      <c r="A102" s="214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</row>
    <row r="103" spans="1:43" ht="12.75">
      <c r="A103" s="214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</row>
    <row r="104" spans="1:43" ht="12.75">
      <c r="A104" s="214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</row>
    <row r="105" spans="1:43" ht="12.75">
      <c r="A105" s="214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</row>
    <row r="106" spans="1:43" ht="12.75">
      <c r="A106" s="214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</row>
    <row r="107" spans="1:43" ht="12.75">
      <c r="A107" s="214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</row>
    <row r="108" spans="2:43" ht="12.75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14"/>
      <c r="V108" s="114"/>
      <c r="W108" s="114"/>
      <c r="X108" s="114"/>
      <c r="Y108" s="114"/>
      <c r="Z108" s="11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</row>
    <row r="109" spans="2:43" ht="12.75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14"/>
      <c r="V109" s="114"/>
      <c r="W109" s="114"/>
      <c r="X109" s="114"/>
      <c r="Y109" s="114"/>
      <c r="Z109" s="11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</row>
    <row r="110" spans="2:43" ht="12.75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14"/>
      <c r="V110" s="114"/>
      <c r="W110" s="114"/>
      <c r="X110" s="114"/>
      <c r="Y110" s="114"/>
      <c r="Z110" s="11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</row>
    <row r="111" spans="2:43" ht="12.75"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14"/>
      <c r="V111" s="114"/>
      <c r="W111" s="114"/>
      <c r="X111" s="114"/>
      <c r="Y111" s="114"/>
      <c r="Z111" s="11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</row>
    <row r="112" spans="2:43" ht="12.75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14"/>
      <c r="V112" s="114"/>
      <c r="W112" s="114"/>
      <c r="X112" s="114"/>
      <c r="Y112" s="114"/>
      <c r="Z112" s="11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</row>
    <row r="113" spans="2:43" ht="12.75"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14"/>
      <c r="V113" s="114"/>
      <c r="W113" s="114"/>
      <c r="X113" s="114"/>
      <c r="Y113" s="114"/>
      <c r="Z113" s="11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</row>
    <row r="114" spans="2:43" ht="12.75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14"/>
      <c r="V114" s="114"/>
      <c r="W114" s="114"/>
      <c r="X114" s="114"/>
      <c r="Y114" s="114"/>
      <c r="Z114" s="11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</row>
    <row r="115" spans="2:43" ht="12.75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14"/>
      <c r="V115" s="114"/>
      <c r="W115" s="114"/>
      <c r="X115" s="114"/>
      <c r="Y115" s="114"/>
      <c r="Z115" s="11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</row>
    <row r="116" spans="2:43" ht="12.75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14"/>
      <c r="V116" s="114"/>
      <c r="W116" s="114"/>
      <c r="X116" s="114"/>
      <c r="Y116" s="114"/>
      <c r="Z116" s="11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</row>
    <row r="117" spans="2:43" ht="12.75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14"/>
      <c r="V117" s="114"/>
      <c r="W117" s="114"/>
      <c r="X117" s="114"/>
      <c r="Y117" s="114"/>
      <c r="Z117" s="11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</row>
    <row r="118" spans="2:43" ht="12.75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14"/>
      <c r="V118" s="114"/>
      <c r="W118" s="114"/>
      <c r="X118" s="114"/>
      <c r="Y118" s="114"/>
      <c r="Z118" s="11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</row>
    <row r="119" spans="2:43" ht="12.75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14"/>
      <c r="V119" s="114"/>
      <c r="W119" s="114"/>
      <c r="X119" s="114"/>
      <c r="Y119" s="114"/>
      <c r="Z119" s="11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</row>
    <row r="120" spans="2:43" ht="12.75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14"/>
      <c r="V120" s="114"/>
      <c r="W120" s="114"/>
      <c r="X120" s="114"/>
      <c r="Y120" s="114"/>
      <c r="Z120" s="11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</row>
    <row r="121" spans="2:43" ht="12.75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14"/>
      <c r="V121" s="114"/>
      <c r="W121" s="114"/>
      <c r="X121" s="114"/>
      <c r="Y121" s="114"/>
      <c r="Z121" s="11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</row>
    <row r="122" spans="2:43" ht="12.75"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14"/>
      <c r="V122" s="114"/>
      <c r="W122" s="114"/>
      <c r="X122" s="114"/>
      <c r="Y122" s="114"/>
      <c r="Z122" s="11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</row>
    <row r="123" spans="2:43" ht="12.75"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14"/>
      <c r="V123" s="114"/>
      <c r="W123" s="114"/>
      <c r="X123" s="114"/>
      <c r="Y123" s="114"/>
      <c r="Z123" s="11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</row>
    <row r="124" spans="2:43" ht="12.75"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14"/>
      <c r="V124" s="114"/>
      <c r="W124" s="114"/>
      <c r="X124" s="114"/>
      <c r="Y124" s="114"/>
      <c r="Z124" s="11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</row>
    <row r="125" spans="2:43" ht="12.75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14"/>
      <c r="V125" s="114"/>
      <c r="W125" s="114"/>
      <c r="X125" s="114"/>
      <c r="Y125" s="114"/>
      <c r="Z125" s="11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</row>
    <row r="126" spans="2:43" ht="12.75"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14"/>
      <c r="V126" s="114"/>
      <c r="W126" s="114"/>
      <c r="X126" s="114"/>
      <c r="Y126" s="114"/>
      <c r="Z126" s="11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</row>
    <row r="127" spans="2:43" ht="12.75"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14"/>
      <c r="V127" s="114"/>
      <c r="W127" s="114"/>
      <c r="X127" s="114"/>
      <c r="Y127" s="114"/>
      <c r="Z127" s="11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</row>
    <row r="128" spans="2:43" ht="12.75"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14"/>
      <c r="V128" s="114"/>
      <c r="W128" s="114"/>
      <c r="X128" s="114"/>
      <c r="Y128" s="114"/>
      <c r="Z128" s="11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</row>
    <row r="129" spans="2:43" ht="12.75"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14"/>
      <c r="V129" s="114"/>
      <c r="W129" s="114"/>
      <c r="X129" s="114"/>
      <c r="Y129" s="114"/>
      <c r="Z129" s="11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</row>
    <row r="130" spans="2:43" ht="12.75"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14"/>
      <c r="V130" s="114"/>
      <c r="W130" s="114"/>
      <c r="X130" s="114"/>
      <c r="Y130" s="114"/>
      <c r="Z130" s="11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</row>
    <row r="131" spans="2:43" ht="12.75"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14"/>
      <c r="V131" s="114"/>
      <c r="W131" s="114"/>
      <c r="X131" s="114"/>
      <c r="Y131" s="114"/>
      <c r="Z131" s="11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</row>
    <row r="132" spans="2:43" ht="12.75"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14"/>
      <c r="V132" s="114"/>
      <c r="W132" s="114"/>
      <c r="X132" s="114"/>
      <c r="Y132" s="114"/>
      <c r="Z132" s="11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</row>
    <row r="133" spans="2:43" ht="12.75"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14"/>
      <c r="V133" s="114"/>
      <c r="W133" s="114"/>
      <c r="X133" s="114"/>
      <c r="Y133" s="114"/>
      <c r="Z133" s="11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</row>
    <row r="134" spans="2:43" ht="12.75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14"/>
      <c r="V134" s="114"/>
      <c r="W134" s="114"/>
      <c r="X134" s="114"/>
      <c r="Y134" s="114"/>
      <c r="Z134" s="11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</row>
    <row r="135" spans="2:43" ht="12.75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14"/>
      <c r="V135" s="114"/>
      <c r="W135" s="114"/>
      <c r="X135" s="114"/>
      <c r="Y135" s="114"/>
      <c r="Z135" s="11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</row>
    <row r="136" spans="2:43" ht="12.75"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14"/>
      <c r="V136" s="114"/>
      <c r="W136" s="114"/>
      <c r="X136" s="114"/>
      <c r="Y136" s="114"/>
      <c r="Z136" s="11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</row>
    <row r="137" spans="2:43" ht="12.75"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14"/>
      <c r="V137" s="114"/>
      <c r="W137" s="114"/>
      <c r="X137" s="114"/>
      <c r="Y137" s="114"/>
      <c r="Z137" s="11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</row>
    <row r="138" spans="2:43" ht="12.75"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14"/>
      <c r="V138" s="114"/>
      <c r="W138" s="114"/>
      <c r="X138" s="114"/>
      <c r="Y138" s="114"/>
      <c r="Z138" s="11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</row>
    <row r="139" spans="2:43" ht="12.75"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14"/>
      <c r="V139" s="114"/>
      <c r="W139" s="114"/>
      <c r="X139" s="114"/>
      <c r="Y139" s="114"/>
      <c r="Z139" s="11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</row>
    <row r="140" spans="2:43" ht="12.75"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14"/>
      <c r="V140" s="114"/>
      <c r="W140" s="114"/>
      <c r="X140" s="114"/>
      <c r="Y140" s="114"/>
      <c r="Z140" s="11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</row>
    <row r="141" spans="2:43" ht="12.75"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14"/>
      <c r="V141" s="114"/>
      <c r="W141" s="114"/>
      <c r="X141" s="114"/>
      <c r="Y141" s="114"/>
      <c r="Z141" s="11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</row>
    <row r="142" spans="2:43" ht="12.75"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14"/>
      <c r="V142" s="114"/>
      <c r="W142" s="114"/>
      <c r="X142" s="114"/>
      <c r="Y142" s="114"/>
      <c r="Z142" s="11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</row>
    <row r="143" spans="2:43" ht="12.75"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14"/>
      <c r="V143" s="114"/>
      <c r="W143" s="114"/>
      <c r="X143" s="114"/>
      <c r="Y143" s="114"/>
      <c r="Z143" s="11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</row>
    <row r="144" spans="2:43" ht="12.75"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14"/>
      <c r="V144" s="114"/>
      <c r="W144" s="114"/>
      <c r="X144" s="114"/>
      <c r="Y144" s="114"/>
      <c r="Z144" s="11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</row>
    <row r="145" spans="2:43" ht="12.75"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14"/>
      <c r="V145" s="114"/>
      <c r="W145" s="114"/>
      <c r="X145" s="114"/>
      <c r="Y145" s="114"/>
      <c r="Z145" s="11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</row>
    <row r="146" spans="2:43" ht="12.75"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14"/>
      <c r="V146" s="114"/>
      <c r="W146" s="114"/>
      <c r="X146" s="114"/>
      <c r="Y146" s="114"/>
      <c r="Z146" s="11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</row>
    <row r="147" spans="2:43" ht="12.75"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14"/>
      <c r="V147" s="114"/>
      <c r="W147" s="114"/>
      <c r="X147" s="114"/>
      <c r="Y147" s="114"/>
      <c r="Z147" s="11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</row>
    <row r="148" spans="2:43" ht="12.75"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14"/>
      <c r="V148" s="114"/>
      <c r="W148" s="114"/>
      <c r="X148" s="114"/>
      <c r="Y148" s="114"/>
      <c r="Z148" s="11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</row>
    <row r="149" spans="2:43" ht="12.75"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14"/>
      <c r="V149" s="114"/>
      <c r="W149" s="114"/>
      <c r="X149" s="114"/>
      <c r="Y149" s="114"/>
      <c r="Z149" s="11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</row>
    <row r="150" spans="2:43" ht="12.75"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14"/>
      <c r="V150" s="114"/>
      <c r="W150" s="114"/>
      <c r="X150" s="114"/>
      <c r="Y150" s="114"/>
      <c r="Z150" s="11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</row>
    <row r="151" spans="2:43" ht="12.7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14"/>
      <c r="V151" s="114"/>
      <c r="W151" s="114"/>
      <c r="X151" s="114"/>
      <c r="Y151" s="114"/>
      <c r="Z151" s="11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</row>
    <row r="152" spans="2:43" ht="12.75"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14"/>
      <c r="V152" s="114"/>
      <c r="W152" s="114"/>
      <c r="X152" s="114"/>
      <c r="Y152" s="114"/>
      <c r="Z152" s="11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</row>
    <row r="153" spans="2:43" ht="12.75"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14"/>
      <c r="V153" s="114"/>
      <c r="W153" s="114"/>
      <c r="X153" s="114"/>
      <c r="Y153" s="114"/>
      <c r="Z153" s="11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</row>
    <row r="154" spans="2:43" ht="12.75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14"/>
      <c r="V154" s="114"/>
      <c r="W154" s="114"/>
      <c r="X154" s="114"/>
      <c r="Y154" s="114"/>
      <c r="Z154" s="11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</row>
    <row r="155" spans="2:43" ht="12.75"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14"/>
      <c r="V155" s="114"/>
      <c r="W155" s="114"/>
      <c r="X155" s="114"/>
      <c r="Y155" s="114"/>
      <c r="Z155" s="11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</row>
    <row r="156" spans="2:43" ht="12.75"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14"/>
      <c r="V156" s="114"/>
      <c r="W156" s="114"/>
      <c r="X156" s="114"/>
      <c r="Y156" s="114"/>
      <c r="Z156" s="11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</row>
    <row r="157" spans="2:43" ht="12.75"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14"/>
      <c r="V157" s="114"/>
      <c r="W157" s="114"/>
      <c r="X157" s="114"/>
      <c r="Y157" s="114"/>
      <c r="Z157" s="11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</row>
    <row r="158" spans="2:43" ht="12.75"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14"/>
      <c r="V158" s="114"/>
      <c r="W158" s="114"/>
      <c r="X158" s="114"/>
      <c r="Y158" s="114"/>
      <c r="Z158" s="11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</row>
    <row r="159" spans="2:43" ht="12.75"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14"/>
      <c r="V159" s="114"/>
      <c r="W159" s="114"/>
      <c r="X159" s="114"/>
      <c r="Y159" s="114"/>
      <c r="Z159" s="11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</row>
    <row r="160" spans="2:43" ht="12.75"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14"/>
      <c r="V160" s="114"/>
      <c r="W160" s="114"/>
      <c r="X160" s="114"/>
      <c r="Y160" s="114"/>
      <c r="Z160" s="11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</row>
    <row r="161" spans="2:43" ht="12.75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14"/>
      <c r="V161" s="114"/>
      <c r="W161" s="114"/>
      <c r="X161" s="114"/>
      <c r="Y161" s="114"/>
      <c r="Z161" s="11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</row>
    <row r="162" spans="2:43" ht="12.75"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14"/>
      <c r="V162" s="114"/>
      <c r="W162" s="114"/>
      <c r="X162" s="114"/>
      <c r="Y162" s="114"/>
      <c r="Z162" s="11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</row>
    <row r="163" spans="2:43" ht="12.75"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14"/>
      <c r="V163" s="114"/>
      <c r="W163" s="114"/>
      <c r="X163" s="114"/>
      <c r="Y163" s="114"/>
      <c r="Z163" s="11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</row>
    <row r="164" spans="2:43" ht="12.75"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14"/>
      <c r="V164" s="114"/>
      <c r="W164" s="114"/>
      <c r="X164" s="114"/>
      <c r="Y164" s="114"/>
      <c r="Z164" s="11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</row>
    <row r="165" spans="2:43" ht="12.75"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14"/>
      <c r="V165" s="114"/>
      <c r="W165" s="114"/>
      <c r="X165" s="114"/>
      <c r="Y165" s="114"/>
      <c r="Z165" s="11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</row>
    <row r="166" spans="2:43" ht="12.75"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14"/>
      <c r="V166" s="114"/>
      <c r="W166" s="114"/>
      <c r="X166" s="114"/>
      <c r="Y166" s="114"/>
      <c r="Z166" s="11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</row>
    <row r="167" spans="2:43" ht="12.75"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14"/>
      <c r="V167" s="114"/>
      <c r="W167" s="114"/>
      <c r="X167" s="114"/>
      <c r="Y167" s="114"/>
      <c r="Z167" s="11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</row>
    <row r="168" spans="2:43" ht="12.75"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14"/>
      <c r="V168" s="114"/>
      <c r="W168" s="114"/>
      <c r="X168" s="114"/>
      <c r="Y168" s="114"/>
      <c r="Z168" s="11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</row>
    <row r="169" spans="2:43" ht="12.75"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14"/>
      <c r="V169" s="114"/>
      <c r="W169" s="114"/>
      <c r="X169" s="114"/>
      <c r="Y169" s="114"/>
      <c r="Z169" s="11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</row>
    <row r="170" spans="2:43" ht="12.75"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14"/>
      <c r="V170" s="114"/>
      <c r="W170" s="114"/>
      <c r="X170" s="114"/>
      <c r="Y170" s="114"/>
      <c r="Z170" s="11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</row>
    <row r="171" spans="2:43" ht="12.75"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14"/>
      <c r="V171" s="114"/>
      <c r="W171" s="114"/>
      <c r="X171" s="114"/>
      <c r="Y171" s="114"/>
      <c r="Z171" s="11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</row>
    <row r="172" spans="2:43" ht="12.75"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14"/>
      <c r="V172" s="114"/>
      <c r="W172" s="114"/>
      <c r="X172" s="114"/>
      <c r="Y172" s="114"/>
      <c r="Z172" s="11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</row>
    <row r="173" spans="2:43" ht="12.75"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14"/>
      <c r="V173" s="114"/>
      <c r="W173" s="114"/>
      <c r="X173" s="114"/>
      <c r="Y173" s="114"/>
      <c r="Z173" s="11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</row>
    <row r="174" spans="2:43" ht="12.75"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14"/>
      <c r="V174" s="114"/>
      <c r="W174" s="114"/>
      <c r="X174" s="114"/>
      <c r="Y174" s="114"/>
      <c r="Z174" s="11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</row>
    <row r="175" spans="2:43" ht="12.75"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14"/>
      <c r="V175" s="114"/>
      <c r="W175" s="114"/>
      <c r="X175" s="114"/>
      <c r="Y175" s="114"/>
      <c r="Z175" s="11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</row>
    <row r="176" spans="2:43" ht="12.75"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14"/>
      <c r="V176" s="114"/>
      <c r="W176" s="114"/>
      <c r="X176" s="114"/>
      <c r="Y176" s="114"/>
      <c r="Z176" s="11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</row>
    <row r="177" spans="2:43" ht="12.75"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14"/>
      <c r="V177" s="114"/>
      <c r="W177" s="114"/>
      <c r="X177" s="114"/>
      <c r="Y177" s="114"/>
      <c r="Z177" s="11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</row>
    <row r="178" spans="2:43" ht="12.75"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14"/>
      <c r="V178" s="114"/>
      <c r="W178" s="114"/>
      <c r="X178" s="114"/>
      <c r="Y178" s="114"/>
      <c r="Z178" s="11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</row>
    <row r="179" spans="2:43" ht="12.75"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14"/>
      <c r="V179" s="114"/>
      <c r="W179" s="114"/>
      <c r="X179" s="114"/>
      <c r="Y179" s="114"/>
      <c r="Z179" s="11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</row>
    <row r="180" spans="25:43" ht="12.75">
      <c r="Y180" s="114"/>
      <c r="Z180" s="11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</row>
  </sheetData>
  <sheetProtection password="CF7A" sheet="1"/>
  <mergeCells count="17">
    <mergeCell ref="A35:X35"/>
    <mergeCell ref="D3:Q3"/>
    <mergeCell ref="A34:W34"/>
    <mergeCell ref="A33:X33"/>
    <mergeCell ref="A2:A4"/>
    <mergeCell ref="B2:B4"/>
    <mergeCell ref="D2:Q2"/>
    <mergeCell ref="R2:R4"/>
    <mergeCell ref="A1:X1"/>
    <mergeCell ref="V3:V4"/>
    <mergeCell ref="W3:W4"/>
    <mergeCell ref="X2:X4"/>
    <mergeCell ref="U3:U4"/>
    <mergeCell ref="T2:T4"/>
    <mergeCell ref="S2:S4"/>
    <mergeCell ref="U2:W2"/>
    <mergeCell ref="C2:C4"/>
  </mergeCells>
  <printOptions horizontalCentered="1"/>
  <pageMargins left="0" right="0" top="0.1968503937007874" bottom="0.1968503937007874" header="0.3149606299212598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J10" sqref="J10"/>
    </sheetView>
  </sheetViews>
  <sheetFormatPr defaultColWidth="9.00390625" defaultRowHeight="12.75" outlineLevelCol="1"/>
  <cols>
    <col min="1" max="1" width="29.875" style="23" customWidth="1"/>
    <col min="2" max="2" width="10.75390625" style="23" customWidth="1"/>
    <col min="3" max="3" width="10.75390625" style="23" hidden="1" customWidth="1" outlineLevel="1"/>
    <col min="4" max="4" width="10.75390625" style="23" customWidth="1" collapsed="1"/>
    <col min="5" max="5" width="10.75390625" style="23" customWidth="1"/>
    <col min="6" max="6" width="10.75390625" style="23" hidden="1" customWidth="1" outlineLevel="1"/>
    <col min="7" max="7" width="10.75390625" style="23" customWidth="1" collapsed="1"/>
    <col min="8" max="8" width="10.75390625" style="23" customWidth="1"/>
    <col min="9" max="9" width="10.75390625" style="23" hidden="1" customWidth="1" outlineLevel="1"/>
    <col min="10" max="10" width="10.75390625" style="23" customWidth="1" collapsed="1"/>
    <col min="11" max="11" width="10.75390625" style="23" customWidth="1"/>
    <col min="12" max="12" width="10.75390625" style="23" hidden="1" customWidth="1" outlineLevel="1"/>
    <col min="13" max="13" width="10.75390625" style="23" customWidth="1" collapsed="1"/>
    <col min="14" max="15" width="10.75390625" style="23" customWidth="1"/>
    <col min="16" max="16" width="5.00390625" style="0" customWidth="1"/>
    <col min="17" max="18" width="9.125" style="0" hidden="1" customWidth="1" outlineLevel="1"/>
    <col min="19" max="19" width="10.125" style="0" hidden="1" customWidth="1" outlineLevel="1"/>
    <col min="20" max="20" width="7.875" style="0" hidden="1" customWidth="1" outlineLevel="1"/>
    <col min="21" max="23" width="9.125" style="0" hidden="1" customWidth="1" outlineLevel="1"/>
    <col min="24" max="24" width="9.125" style="0" customWidth="1" collapsed="1"/>
  </cols>
  <sheetData>
    <row r="1" spans="1:16" ht="42.75" customHeight="1" thickBot="1">
      <c r="A1" s="564" t="s">
        <v>526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175"/>
    </row>
    <row r="2" spans="1:19" ht="36.75" customHeight="1">
      <c r="A2" s="567" t="s">
        <v>481</v>
      </c>
      <c r="B2" s="569" t="s">
        <v>221</v>
      </c>
      <c r="C2" s="569"/>
      <c r="D2" s="569"/>
      <c r="E2" s="569" t="s">
        <v>18</v>
      </c>
      <c r="F2" s="569"/>
      <c r="G2" s="569"/>
      <c r="H2" s="569" t="s">
        <v>59</v>
      </c>
      <c r="I2" s="569"/>
      <c r="J2" s="569"/>
      <c r="K2" s="569" t="s">
        <v>226</v>
      </c>
      <c r="L2" s="569"/>
      <c r="M2" s="569"/>
      <c r="N2" s="570" t="s">
        <v>227</v>
      </c>
      <c r="O2" s="571"/>
      <c r="Q2" s="565" t="s">
        <v>186</v>
      </c>
      <c r="R2" s="565"/>
      <c r="S2" s="565"/>
    </row>
    <row r="3" spans="1:20" ht="15.75" customHeight="1">
      <c r="A3" s="568"/>
      <c r="B3" s="227" t="s">
        <v>222</v>
      </c>
      <c r="C3" s="228"/>
      <c r="D3" s="566" t="s">
        <v>225</v>
      </c>
      <c r="E3" s="227" t="s">
        <v>222</v>
      </c>
      <c r="F3" s="228"/>
      <c r="G3" s="566" t="s">
        <v>223</v>
      </c>
      <c r="H3" s="227" t="s">
        <v>222</v>
      </c>
      <c r="I3" s="566"/>
      <c r="J3" s="566" t="s">
        <v>224</v>
      </c>
      <c r="K3" s="227" t="s">
        <v>222</v>
      </c>
      <c r="L3" s="228"/>
      <c r="M3" s="566" t="s">
        <v>225</v>
      </c>
      <c r="N3" s="227" t="s">
        <v>222</v>
      </c>
      <c r="O3" s="572" t="s">
        <v>228</v>
      </c>
      <c r="Q3" s="105">
        <v>100</v>
      </c>
      <c r="R3" s="105">
        <v>100</v>
      </c>
      <c r="S3" s="105">
        <v>425</v>
      </c>
      <c r="T3" s="6">
        <v>3000</v>
      </c>
    </row>
    <row r="4" spans="1:15" ht="33.75" customHeight="1" thickBot="1">
      <c r="A4" s="568"/>
      <c r="B4" s="223" t="s">
        <v>482</v>
      </c>
      <c r="C4" s="228"/>
      <c r="D4" s="566"/>
      <c r="E4" s="223" t="s">
        <v>483</v>
      </c>
      <c r="F4" s="228"/>
      <c r="G4" s="566"/>
      <c r="H4" s="223" t="s">
        <v>484</v>
      </c>
      <c r="I4" s="566"/>
      <c r="J4" s="566"/>
      <c r="K4" s="229" t="s">
        <v>485</v>
      </c>
      <c r="L4" s="228"/>
      <c r="M4" s="566"/>
      <c r="N4" s="227">
        <v>2550</v>
      </c>
      <c r="O4" s="572"/>
    </row>
    <row r="5" spans="1:23" s="141" customFormat="1" ht="22.5" customHeight="1" thickBot="1">
      <c r="A5" s="168" t="s">
        <v>1</v>
      </c>
      <c r="B5" s="167">
        <f>Меню!H8</f>
        <v>749.1999999999999</v>
      </c>
      <c r="C5" s="167">
        <f>B5*100/500</f>
        <v>149.84</v>
      </c>
      <c r="D5" s="167">
        <f>B5*100/2550</f>
        <v>29.380392156862744</v>
      </c>
      <c r="E5" s="167">
        <f>Меню!H31</f>
        <v>997.9333333333333</v>
      </c>
      <c r="F5" s="167">
        <f>E5*100/700</f>
        <v>142.56190476190474</v>
      </c>
      <c r="G5" s="167">
        <f>E5*100/2550</f>
        <v>39.13464052287581</v>
      </c>
      <c r="H5" s="167">
        <f>Меню!H76</f>
        <v>251.63333333333335</v>
      </c>
      <c r="I5" s="167">
        <f>H5*100/200</f>
        <v>125.81666666666668</v>
      </c>
      <c r="J5" s="167">
        <f>H5*100/2550</f>
        <v>9.86797385620915</v>
      </c>
      <c r="K5" s="167">
        <f>Меню!H88</f>
        <v>690.4</v>
      </c>
      <c r="L5" s="167">
        <f>K5*100/500</f>
        <v>138.08</v>
      </c>
      <c r="M5" s="167">
        <f>K5*100/2550</f>
        <v>27.07450980392157</v>
      </c>
      <c r="N5" s="167">
        <f>Меню!H127</f>
        <v>2689.1666666666665</v>
      </c>
      <c r="O5" s="181">
        <f>N5*100/2550</f>
        <v>105.45751633986927</v>
      </c>
      <c r="Q5" s="177">
        <f>Меню!E127</f>
        <v>79.36666666666666</v>
      </c>
      <c r="R5" s="177">
        <f>Меню!F127</f>
        <v>87.03333333333333</v>
      </c>
      <c r="S5" s="177">
        <f>Меню!G127</f>
        <v>382.2</v>
      </c>
      <c r="T5" s="177">
        <f>Меню!H127</f>
        <v>2689.1666666666665</v>
      </c>
      <c r="U5" s="146">
        <f aca="true" t="shared" si="0" ref="U5:U18">Q5/R5</f>
        <v>0.911911145155113</v>
      </c>
      <c r="V5" s="147">
        <f aca="true" t="shared" si="1" ref="V5:V18">R5/Q5</f>
        <v>1.0965980680386394</v>
      </c>
      <c r="W5" s="148">
        <f aca="true" t="shared" si="2" ref="W5:W18">S5/Q5</f>
        <v>4.81562368752625</v>
      </c>
    </row>
    <row r="6" spans="1:23" s="141" customFormat="1" ht="22.5" customHeight="1" thickBot="1">
      <c r="A6" s="168" t="s">
        <v>33</v>
      </c>
      <c r="B6" s="167">
        <f>Меню!H133</f>
        <v>670.3800000000001</v>
      </c>
      <c r="C6" s="167">
        <f aca="true" t="shared" si="3" ref="C6:C18">B6*100/500</f>
        <v>134.07600000000002</v>
      </c>
      <c r="D6" s="167">
        <f aca="true" t="shared" si="4" ref="D6:D18">B6*100/2550</f>
        <v>26.28941176470589</v>
      </c>
      <c r="E6" s="167">
        <f>Меню!H169</f>
        <v>868.5</v>
      </c>
      <c r="F6" s="167">
        <f aca="true" t="shared" si="5" ref="F6:F18">E6*100/700</f>
        <v>124.07142857142857</v>
      </c>
      <c r="G6" s="167">
        <f aca="true" t="shared" si="6" ref="G6:G18">E6*100/2550</f>
        <v>34.05882352941177</v>
      </c>
      <c r="H6" s="167">
        <f>Меню!H242</f>
        <v>258.1</v>
      </c>
      <c r="I6" s="167">
        <f aca="true" t="shared" si="7" ref="I6:I18">H6*100/200</f>
        <v>129.05</v>
      </c>
      <c r="J6" s="167">
        <f aca="true" t="shared" si="8" ref="J6:J18">H6*100/2550</f>
        <v>10.121568627450982</v>
      </c>
      <c r="K6" s="167">
        <f>Меню!H259</f>
        <v>720.12</v>
      </c>
      <c r="L6" s="167">
        <f aca="true" t="shared" si="9" ref="L6:L18">K6*100/500</f>
        <v>144.024</v>
      </c>
      <c r="M6" s="167">
        <f aca="true" t="shared" si="10" ref="M6:M18">K6*100/2550</f>
        <v>28.24</v>
      </c>
      <c r="N6" s="167">
        <f>Меню!H289</f>
        <v>2694.02</v>
      </c>
      <c r="O6" s="181">
        <f aca="true" t="shared" si="11" ref="O6:O18">N6*100/2550</f>
        <v>105.6478431372549</v>
      </c>
      <c r="Q6" s="142">
        <f>Меню!E289</f>
        <v>77.7</v>
      </c>
      <c r="R6" s="142">
        <f>Меню!F289</f>
        <v>84.67999999999999</v>
      </c>
      <c r="S6" s="142">
        <f>Меню!G289</f>
        <v>364.55499999999995</v>
      </c>
      <c r="T6" s="142">
        <f>Меню!H289</f>
        <v>2694.02</v>
      </c>
      <c r="U6" s="143">
        <f t="shared" si="0"/>
        <v>0.9175720358998584</v>
      </c>
      <c r="V6" s="144">
        <f t="shared" si="1"/>
        <v>1.0898326898326898</v>
      </c>
      <c r="W6" s="145">
        <f t="shared" si="2"/>
        <v>4.691827541827541</v>
      </c>
    </row>
    <row r="7" spans="1:23" s="141" customFormat="1" ht="22.5" customHeight="1" thickBot="1">
      <c r="A7" s="168" t="s">
        <v>38</v>
      </c>
      <c r="B7" s="167">
        <f>Меню!H295</f>
        <v>618.8</v>
      </c>
      <c r="C7" s="167">
        <f>B7*100/600</f>
        <v>103.13333333333333</v>
      </c>
      <c r="D7" s="167">
        <f t="shared" si="4"/>
        <v>24.266666666666662</v>
      </c>
      <c r="E7" s="167">
        <f>Меню!H314</f>
        <v>974.1999999999999</v>
      </c>
      <c r="F7" s="167">
        <f t="shared" si="5"/>
        <v>139.17142857142858</v>
      </c>
      <c r="G7" s="167">
        <f t="shared" si="6"/>
        <v>38.20392156862745</v>
      </c>
      <c r="H7" s="167">
        <f>Меню!H352</f>
        <v>295.20000000000005</v>
      </c>
      <c r="I7" s="167">
        <f t="shared" si="7"/>
        <v>147.60000000000002</v>
      </c>
      <c r="J7" s="167">
        <f t="shared" si="8"/>
        <v>11.576470588235296</v>
      </c>
      <c r="K7" s="167">
        <f>Меню!H356</f>
        <v>674.7199999999999</v>
      </c>
      <c r="L7" s="167">
        <f t="shared" si="9"/>
        <v>134.94399999999996</v>
      </c>
      <c r="M7" s="167">
        <f t="shared" si="10"/>
        <v>26.45960784313725</v>
      </c>
      <c r="N7" s="167">
        <f>Меню!H381</f>
        <v>2562.92</v>
      </c>
      <c r="O7" s="181">
        <f t="shared" si="11"/>
        <v>100.50666666666666</v>
      </c>
      <c r="Q7" s="142">
        <f>Меню!E381</f>
        <v>79.94</v>
      </c>
      <c r="R7" s="142">
        <f>Меню!F381</f>
        <v>61.9</v>
      </c>
      <c r="S7" s="142">
        <f>Меню!G381</f>
        <v>369.56</v>
      </c>
      <c r="T7" s="142">
        <f>Меню!H381</f>
        <v>2562.92</v>
      </c>
      <c r="U7" s="146">
        <f t="shared" si="0"/>
        <v>1.2914378029079159</v>
      </c>
      <c r="V7" s="147">
        <f t="shared" si="1"/>
        <v>0.7743307480610457</v>
      </c>
      <c r="W7" s="148">
        <f t="shared" si="2"/>
        <v>4.622967225419065</v>
      </c>
    </row>
    <row r="8" spans="1:23" s="141" customFormat="1" ht="22.5" customHeight="1" thickBot="1">
      <c r="A8" s="168" t="s">
        <v>41</v>
      </c>
      <c r="B8" s="167">
        <f>Меню!H387</f>
        <v>561.8199999999999</v>
      </c>
      <c r="C8" s="167">
        <f t="shared" si="3"/>
        <v>112.36399999999999</v>
      </c>
      <c r="D8" s="167">
        <f t="shared" si="4"/>
        <v>22.032156862745094</v>
      </c>
      <c r="E8" s="167">
        <f>Меню!H408</f>
        <v>986.6533333333333</v>
      </c>
      <c r="F8" s="167">
        <f t="shared" si="5"/>
        <v>140.9504761904762</v>
      </c>
      <c r="G8" s="167">
        <f t="shared" si="6"/>
        <v>38.69228758169935</v>
      </c>
      <c r="H8" s="167">
        <f>Меню!H455</f>
        <v>288.5</v>
      </c>
      <c r="I8" s="167">
        <f t="shared" si="7"/>
        <v>144.25</v>
      </c>
      <c r="J8" s="167">
        <f t="shared" si="8"/>
        <v>11.313725490196079</v>
      </c>
      <c r="K8" s="167">
        <f>Меню!H459</f>
        <v>740.5872527472527</v>
      </c>
      <c r="L8" s="167">
        <f t="shared" si="9"/>
        <v>148.11745054945052</v>
      </c>
      <c r="M8" s="167">
        <f t="shared" si="10"/>
        <v>29.042637362637358</v>
      </c>
      <c r="N8" s="167">
        <f>Меню!H524</f>
        <v>2577.5605860805863</v>
      </c>
      <c r="O8" s="181">
        <f t="shared" si="11"/>
        <v>101.0808072972779</v>
      </c>
      <c r="Q8" s="142">
        <f>Меню!E524</f>
        <v>77.19142857142856</v>
      </c>
      <c r="R8" s="142">
        <f>Меню!F524</f>
        <v>88.03999999999999</v>
      </c>
      <c r="S8" s="142">
        <f>Меню!G524</f>
        <v>370.24871794871797</v>
      </c>
      <c r="T8" s="142">
        <f>Меню!H524</f>
        <v>2577.5605860805863</v>
      </c>
      <c r="U8" s="143">
        <f t="shared" si="0"/>
        <v>0.8767767897708834</v>
      </c>
      <c r="V8" s="144">
        <f t="shared" si="1"/>
        <v>1.1405411407632233</v>
      </c>
      <c r="W8" s="145">
        <f t="shared" si="2"/>
        <v>4.796500399083959</v>
      </c>
    </row>
    <row r="9" spans="1:23" s="141" customFormat="1" ht="22.5" customHeight="1" thickBot="1">
      <c r="A9" s="168" t="s">
        <v>42</v>
      </c>
      <c r="B9" s="167">
        <f>Меню!H530</f>
        <v>669.58</v>
      </c>
      <c r="C9" s="167">
        <f t="shared" si="3"/>
        <v>133.916</v>
      </c>
      <c r="D9" s="167">
        <f t="shared" si="4"/>
        <v>26.258039215686274</v>
      </c>
      <c r="E9" s="167">
        <f>Меню!H560</f>
        <v>908.1800000000001</v>
      </c>
      <c r="F9" s="167">
        <f t="shared" si="5"/>
        <v>129.74</v>
      </c>
      <c r="G9" s="167">
        <f t="shared" si="6"/>
        <v>35.614901960784316</v>
      </c>
      <c r="H9" s="167">
        <f>Меню!H608</f>
        <v>214.28</v>
      </c>
      <c r="I9" s="167">
        <f t="shared" si="7"/>
        <v>107.14</v>
      </c>
      <c r="J9" s="167">
        <f t="shared" si="8"/>
        <v>8.40313725490196</v>
      </c>
      <c r="K9" s="167">
        <f>Меню!H625</f>
        <v>679.96</v>
      </c>
      <c r="L9" s="167">
        <f t="shared" si="9"/>
        <v>135.992</v>
      </c>
      <c r="M9" s="167">
        <f t="shared" si="10"/>
        <v>26.665098039215685</v>
      </c>
      <c r="N9" s="167">
        <f>Меню!H654</f>
        <v>2472</v>
      </c>
      <c r="O9" s="181">
        <f t="shared" si="11"/>
        <v>96.94117647058823</v>
      </c>
      <c r="Q9" s="142">
        <f>Меню!E654</f>
        <v>73.10000000000001</v>
      </c>
      <c r="R9" s="142">
        <f>Меню!F654</f>
        <v>80.56</v>
      </c>
      <c r="S9" s="142">
        <f>Меню!G654</f>
        <v>363.78</v>
      </c>
      <c r="T9" s="142">
        <f>Меню!H654</f>
        <v>2472</v>
      </c>
      <c r="U9" s="146">
        <f t="shared" si="0"/>
        <v>0.9073982125124131</v>
      </c>
      <c r="V9" s="147">
        <f t="shared" si="1"/>
        <v>1.1020519835841311</v>
      </c>
      <c r="W9" s="148">
        <f t="shared" si="2"/>
        <v>4.976470588235293</v>
      </c>
    </row>
    <row r="10" spans="1:23" s="141" customFormat="1" ht="22.5" customHeight="1" thickBot="1">
      <c r="A10" s="168" t="s">
        <v>44</v>
      </c>
      <c r="B10" s="167">
        <f>Меню!H660</f>
        <v>701.8000000000001</v>
      </c>
      <c r="C10" s="167">
        <f t="shared" si="3"/>
        <v>140.36</v>
      </c>
      <c r="D10" s="167">
        <f t="shared" si="4"/>
        <v>27.521568627450982</v>
      </c>
      <c r="E10" s="167">
        <f>Меню!H678</f>
        <v>904.8800000000001</v>
      </c>
      <c r="F10" s="167">
        <f t="shared" si="5"/>
        <v>129.26857142857145</v>
      </c>
      <c r="G10" s="167">
        <f t="shared" si="6"/>
        <v>35.48549019607844</v>
      </c>
      <c r="H10" s="167">
        <f>Меню!H711</f>
        <v>295.20000000000005</v>
      </c>
      <c r="I10" s="167">
        <f t="shared" si="7"/>
        <v>147.60000000000002</v>
      </c>
      <c r="J10" s="167">
        <f t="shared" si="8"/>
        <v>11.576470588235296</v>
      </c>
      <c r="K10" s="167">
        <f>Меню!H715</f>
        <v>729.76</v>
      </c>
      <c r="L10" s="167">
        <f t="shared" si="9"/>
        <v>145.952</v>
      </c>
      <c r="M10" s="167">
        <f t="shared" si="10"/>
        <v>28.618039215686274</v>
      </c>
      <c r="N10" s="167">
        <f>Меню!H746</f>
        <v>2631.6400000000003</v>
      </c>
      <c r="O10" s="181">
        <f t="shared" si="11"/>
        <v>103.20156862745101</v>
      </c>
      <c r="Q10" s="142">
        <f>Меню!E746</f>
        <v>78.68</v>
      </c>
      <c r="R10" s="178">
        <f>Меню!F746</f>
        <v>85.39</v>
      </c>
      <c r="S10" s="178">
        <f>Меню!G746</f>
        <v>372.03</v>
      </c>
      <c r="T10" s="135">
        <f>Меню!H746</f>
        <v>2631.6400000000003</v>
      </c>
      <c r="U10" s="143">
        <f t="shared" si="0"/>
        <v>0.9214193699496429</v>
      </c>
      <c r="V10" s="144">
        <f t="shared" si="1"/>
        <v>1.085282155566853</v>
      </c>
      <c r="W10" s="145">
        <f t="shared" si="2"/>
        <v>4.728393492628367</v>
      </c>
    </row>
    <row r="11" spans="1:23" s="141" customFormat="1" ht="22.5" customHeight="1" thickBot="1">
      <c r="A11" s="168" t="s">
        <v>47</v>
      </c>
      <c r="B11" s="167">
        <f>Меню!H752</f>
        <v>713.48</v>
      </c>
      <c r="C11" s="167">
        <f t="shared" si="3"/>
        <v>142.696</v>
      </c>
      <c r="D11" s="167">
        <f t="shared" si="4"/>
        <v>27.979607843137256</v>
      </c>
      <c r="E11" s="167">
        <f>Меню!H772</f>
        <v>929.4000000000001</v>
      </c>
      <c r="F11" s="167">
        <f t="shared" si="5"/>
        <v>132.7714285714286</v>
      </c>
      <c r="G11" s="167">
        <f t="shared" si="6"/>
        <v>36.44705882352942</v>
      </c>
      <c r="H11" s="167">
        <f>Меню!H816</f>
        <v>295.20000000000005</v>
      </c>
      <c r="I11" s="167">
        <f t="shared" si="7"/>
        <v>147.60000000000002</v>
      </c>
      <c r="J11" s="167">
        <f t="shared" si="8"/>
        <v>11.576470588235296</v>
      </c>
      <c r="K11" s="167">
        <f>Меню!H820</f>
        <v>605.8399999999999</v>
      </c>
      <c r="L11" s="167">
        <f t="shared" si="9"/>
        <v>121.16799999999999</v>
      </c>
      <c r="M11" s="167">
        <f t="shared" si="10"/>
        <v>23.758431372549015</v>
      </c>
      <c r="N11" s="167">
        <f>Меню!H844</f>
        <v>2543.92</v>
      </c>
      <c r="O11" s="181">
        <f t="shared" si="11"/>
        <v>99.76156862745098</v>
      </c>
      <c r="Q11" s="142">
        <f>Меню!E844</f>
        <v>76.52</v>
      </c>
      <c r="R11" s="142">
        <f>Меню!F844</f>
        <v>85.54</v>
      </c>
      <c r="S11" s="142">
        <f>Меню!G844</f>
        <v>370.17999999999995</v>
      </c>
      <c r="T11" s="142">
        <f>Меню!H844</f>
        <v>2543.92</v>
      </c>
      <c r="U11" s="146">
        <f t="shared" si="0"/>
        <v>0.8945522562543838</v>
      </c>
      <c r="V11" s="147">
        <f t="shared" si="1"/>
        <v>1.1178776790381602</v>
      </c>
      <c r="W11" s="148">
        <f t="shared" si="2"/>
        <v>4.837689492943021</v>
      </c>
    </row>
    <row r="12" spans="1:23" s="141" customFormat="1" ht="22.5" customHeight="1" thickBot="1">
      <c r="A12" s="168" t="s">
        <v>49</v>
      </c>
      <c r="B12" s="167">
        <f>Меню!H850</f>
        <v>582.8000000000001</v>
      </c>
      <c r="C12" s="167">
        <f t="shared" si="3"/>
        <v>116.56000000000002</v>
      </c>
      <c r="D12" s="167">
        <f t="shared" si="4"/>
        <v>22.854901960784318</v>
      </c>
      <c r="E12" s="167">
        <f>Меню!H868</f>
        <v>946.8285714285714</v>
      </c>
      <c r="F12" s="167">
        <f t="shared" si="5"/>
        <v>135.26122448979592</v>
      </c>
      <c r="G12" s="167">
        <f t="shared" si="6"/>
        <v>37.13053221288516</v>
      </c>
      <c r="H12" s="167">
        <f>Меню!H913</f>
        <v>288.5</v>
      </c>
      <c r="I12" s="167">
        <f t="shared" si="7"/>
        <v>144.25</v>
      </c>
      <c r="J12" s="167">
        <f t="shared" si="8"/>
        <v>11.313725490196079</v>
      </c>
      <c r="K12" s="167">
        <f>Меню!H916</f>
        <v>654.04</v>
      </c>
      <c r="L12" s="167">
        <f t="shared" si="9"/>
        <v>130.808</v>
      </c>
      <c r="M12" s="167">
        <f t="shared" si="10"/>
        <v>25.648627450980392</v>
      </c>
      <c r="N12" s="167">
        <f>Меню!H954</f>
        <v>2472.1685714285713</v>
      </c>
      <c r="O12" s="181">
        <f t="shared" si="11"/>
        <v>96.94778711484594</v>
      </c>
      <c r="Q12" s="142">
        <f>Меню!E954</f>
        <v>73.13714285714286</v>
      </c>
      <c r="R12" s="142">
        <f>Меню!F954</f>
        <v>84.09333333333333</v>
      </c>
      <c r="S12" s="142">
        <f>Меню!G954</f>
        <v>359.88</v>
      </c>
      <c r="T12" s="142">
        <f>Меню!H954</f>
        <v>2472.1685714285713</v>
      </c>
      <c r="U12" s="143">
        <f t="shared" si="0"/>
        <v>0.8697139233051712</v>
      </c>
      <c r="V12" s="144">
        <f t="shared" si="1"/>
        <v>1.1498033700549521</v>
      </c>
      <c r="W12" s="145">
        <f t="shared" si="2"/>
        <v>4.92061879834362</v>
      </c>
    </row>
    <row r="13" spans="1:23" s="133" customFormat="1" ht="22.5" customHeight="1" thickBot="1">
      <c r="A13" s="168" t="s">
        <v>53</v>
      </c>
      <c r="B13" s="167">
        <f>Меню!H960</f>
        <v>587.2800000000001</v>
      </c>
      <c r="C13" s="167">
        <f t="shared" si="3"/>
        <v>117.45600000000002</v>
      </c>
      <c r="D13" s="167">
        <f t="shared" si="4"/>
        <v>23.030588235294122</v>
      </c>
      <c r="E13" s="167">
        <f>Меню!H977</f>
        <v>913.3199999999999</v>
      </c>
      <c r="F13" s="167">
        <f t="shared" si="5"/>
        <v>130.4742857142857</v>
      </c>
      <c r="G13" s="167">
        <f t="shared" si="6"/>
        <v>35.8164705882353</v>
      </c>
      <c r="H13" s="167">
        <f>Меню!H1014</f>
        <v>295.20000000000005</v>
      </c>
      <c r="I13" s="167">
        <f t="shared" si="7"/>
        <v>147.60000000000002</v>
      </c>
      <c r="J13" s="167">
        <f t="shared" si="8"/>
        <v>11.576470588235296</v>
      </c>
      <c r="K13" s="167">
        <f>Меню!H1018</f>
        <v>750.8</v>
      </c>
      <c r="L13" s="167">
        <f t="shared" si="9"/>
        <v>150.16</v>
      </c>
      <c r="M13" s="167">
        <f t="shared" si="10"/>
        <v>29.44313725490196</v>
      </c>
      <c r="N13" s="167">
        <f>Меню!H1038</f>
        <v>2546.6</v>
      </c>
      <c r="O13" s="181">
        <f t="shared" si="11"/>
        <v>99.86666666666666</v>
      </c>
      <c r="Q13" s="137">
        <f>Меню!E1038</f>
        <v>74.67333333333333</v>
      </c>
      <c r="R13" s="137">
        <f>Меню!F1038</f>
        <v>83.78</v>
      </c>
      <c r="S13" s="142">
        <f>Меню!G1038</f>
        <v>362.7216666666667</v>
      </c>
      <c r="T13" s="137">
        <f>Меню!H1038</f>
        <v>2546.6</v>
      </c>
      <c r="U13" s="85">
        <f t="shared" si="0"/>
        <v>0.8913026179676932</v>
      </c>
      <c r="V13" s="86">
        <f t="shared" si="1"/>
        <v>1.1219533970181235</v>
      </c>
      <c r="W13" s="87">
        <f t="shared" si="2"/>
        <v>4.857445763771092</v>
      </c>
    </row>
    <row r="14" spans="1:23" s="141" customFormat="1" ht="22.5" customHeight="1" thickBot="1">
      <c r="A14" s="168" t="s">
        <v>66</v>
      </c>
      <c r="B14" s="167">
        <f>Меню!H1044</f>
        <v>638.6</v>
      </c>
      <c r="C14" s="167">
        <f t="shared" si="3"/>
        <v>127.72</v>
      </c>
      <c r="D14" s="167">
        <f t="shared" si="4"/>
        <v>25.04313725490196</v>
      </c>
      <c r="E14" s="167">
        <f>Меню!H1065</f>
        <v>973.1700000000001</v>
      </c>
      <c r="F14" s="167">
        <f t="shared" si="5"/>
        <v>139.02428571428572</v>
      </c>
      <c r="G14" s="167">
        <f t="shared" si="6"/>
        <v>38.163529411764706</v>
      </c>
      <c r="H14" s="167">
        <f>Меню!H1104</f>
        <v>295.20000000000005</v>
      </c>
      <c r="I14" s="167">
        <f t="shared" si="7"/>
        <v>147.60000000000002</v>
      </c>
      <c r="J14" s="167">
        <f t="shared" si="8"/>
        <v>11.576470588235296</v>
      </c>
      <c r="K14" s="167">
        <f>Меню!H1108</f>
        <v>704.4085714285716</v>
      </c>
      <c r="L14" s="167">
        <f t="shared" si="9"/>
        <v>140.8817142857143</v>
      </c>
      <c r="M14" s="167">
        <f t="shared" si="10"/>
        <v>27.623865546218493</v>
      </c>
      <c r="N14" s="167">
        <f>Меню!H1135</f>
        <v>2611.378571428572</v>
      </c>
      <c r="O14" s="181">
        <f t="shared" si="11"/>
        <v>102.40700280112047</v>
      </c>
      <c r="Q14" s="142">
        <f>Меню!E1135</f>
        <v>82.59714285714286</v>
      </c>
      <c r="R14" s="142">
        <f>Меню!F1135</f>
        <v>85.82000000000001</v>
      </c>
      <c r="S14" s="142">
        <f>Меню!G1135</f>
        <v>372.96000000000004</v>
      </c>
      <c r="T14" s="142">
        <f>Меню!H1135</f>
        <v>2611.378571428572</v>
      </c>
      <c r="U14" s="143">
        <f t="shared" si="0"/>
        <v>0.9624463162100075</v>
      </c>
      <c r="V14" s="144">
        <f t="shared" si="1"/>
        <v>1.0390189906257568</v>
      </c>
      <c r="W14" s="145">
        <f t="shared" si="2"/>
        <v>4.51541042581895</v>
      </c>
    </row>
    <row r="15" spans="1:23" s="141" customFormat="1" ht="22.5" customHeight="1" thickBot="1">
      <c r="A15" s="168" t="s">
        <v>95</v>
      </c>
      <c r="B15" s="167">
        <f>Меню!H1141</f>
        <v>689.4000000000001</v>
      </c>
      <c r="C15" s="167">
        <f t="shared" si="3"/>
        <v>137.88000000000002</v>
      </c>
      <c r="D15" s="167">
        <f t="shared" si="4"/>
        <v>27.035294117647066</v>
      </c>
      <c r="E15" s="167">
        <f>Меню!H1162</f>
        <v>982</v>
      </c>
      <c r="F15" s="167">
        <f t="shared" si="5"/>
        <v>140.28571428571428</v>
      </c>
      <c r="G15" s="167">
        <f t="shared" si="6"/>
        <v>38.509803921568626</v>
      </c>
      <c r="H15" s="167">
        <f>Меню!H1216</f>
        <v>287.70000000000005</v>
      </c>
      <c r="I15" s="167">
        <f t="shared" si="7"/>
        <v>143.85000000000002</v>
      </c>
      <c r="J15" s="167">
        <f t="shared" si="8"/>
        <v>11.282352941176471</v>
      </c>
      <c r="K15" s="167">
        <f>Меню!H1228</f>
        <v>645.22</v>
      </c>
      <c r="L15" s="167">
        <f t="shared" si="9"/>
        <v>129.044</v>
      </c>
      <c r="M15" s="167">
        <f t="shared" si="10"/>
        <v>25.302745098039217</v>
      </c>
      <c r="N15" s="167">
        <f>Меню!H1256</f>
        <v>2604.32</v>
      </c>
      <c r="O15" s="181">
        <f t="shared" si="11"/>
        <v>102.13019607843138</v>
      </c>
      <c r="Q15" s="142">
        <f>Меню!E1256</f>
        <v>67.75999999999999</v>
      </c>
      <c r="R15" s="142">
        <f>Меню!F1256</f>
        <v>73.02000000000001</v>
      </c>
      <c r="S15" s="142">
        <f>Меню!G1256</f>
        <v>365.53999999999996</v>
      </c>
      <c r="T15" s="142">
        <f>Меню!H1256</f>
        <v>2604.32</v>
      </c>
      <c r="U15" s="146">
        <f t="shared" si="0"/>
        <v>0.9279649411120239</v>
      </c>
      <c r="V15" s="147">
        <f t="shared" si="1"/>
        <v>1.0776269185360097</v>
      </c>
      <c r="W15" s="148">
        <f t="shared" si="2"/>
        <v>5.394628099173554</v>
      </c>
    </row>
    <row r="16" spans="1:23" s="141" customFormat="1" ht="22.5" customHeight="1" thickBot="1">
      <c r="A16" s="168" t="s">
        <v>97</v>
      </c>
      <c r="B16" s="167">
        <f>Меню!H1262</f>
        <v>639.7</v>
      </c>
      <c r="C16" s="167">
        <f t="shared" si="3"/>
        <v>127.94000000000001</v>
      </c>
      <c r="D16" s="167">
        <f t="shared" si="4"/>
        <v>25.086274509803925</v>
      </c>
      <c r="E16" s="167">
        <f>Меню!H1285</f>
        <v>1043.7153450292396</v>
      </c>
      <c r="F16" s="167">
        <f t="shared" si="5"/>
        <v>149.10219214703423</v>
      </c>
      <c r="G16" s="167">
        <f t="shared" si="6"/>
        <v>40.93001353055842</v>
      </c>
      <c r="H16" s="167">
        <f>Меню!H1324</f>
        <v>295.20000000000005</v>
      </c>
      <c r="I16" s="167">
        <f t="shared" si="7"/>
        <v>147.60000000000002</v>
      </c>
      <c r="J16" s="167">
        <f t="shared" si="8"/>
        <v>11.576470588235296</v>
      </c>
      <c r="K16" s="167">
        <f>Меню!H1328</f>
        <v>640.52</v>
      </c>
      <c r="L16" s="167">
        <f t="shared" si="9"/>
        <v>128.104</v>
      </c>
      <c r="M16" s="167">
        <f t="shared" si="10"/>
        <v>25.11843137254902</v>
      </c>
      <c r="N16" s="167">
        <f>Меню!H1359</f>
        <v>2619.13534502924</v>
      </c>
      <c r="O16" s="181">
        <f t="shared" si="11"/>
        <v>102.71119000114666</v>
      </c>
      <c r="Q16" s="142">
        <f>Меню!E1359</f>
        <v>82.62383625730993</v>
      </c>
      <c r="R16" s="142">
        <f>Меню!F1359</f>
        <v>78.87</v>
      </c>
      <c r="S16" s="142">
        <f>Меню!G1359</f>
        <v>374.37</v>
      </c>
      <c r="T16" s="142">
        <f>Меню!H1359</f>
        <v>2619.13534502924</v>
      </c>
      <c r="U16" s="143">
        <f t="shared" si="0"/>
        <v>1.0475952359237977</v>
      </c>
      <c r="V16" s="144">
        <f t="shared" si="1"/>
        <v>0.9545671512320052</v>
      </c>
      <c r="W16" s="145">
        <f t="shared" si="2"/>
        <v>4.531016919065878</v>
      </c>
    </row>
    <row r="17" spans="1:23" s="141" customFormat="1" ht="22.5" customHeight="1" thickBot="1">
      <c r="A17" s="168" t="s">
        <v>98</v>
      </c>
      <c r="B17" s="167">
        <f>Меню!H1365</f>
        <v>605.1999999999999</v>
      </c>
      <c r="C17" s="167">
        <f t="shared" si="3"/>
        <v>121.03999999999999</v>
      </c>
      <c r="D17" s="167">
        <f t="shared" si="4"/>
        <v>23.73333333333333</v>
      </c>
      <c r="E17" s="167">
        <f>Меню!H1392</f>
        <v>956.9338461538462</v>
      </c>
      <c r="F17" s="167">
        <f t="shared" si="5"/>
        <v>136.70483516483515</v>
      </c>
      <c r="G17" s="167">
        <f t="shared" si="6"/>
        <v>37.526817496229256</v>
      </c>
      <c r="H17" s="167">
        <f>Меню!H1450</f>
        <v>336.3</v>
      </c>
      <c r="I17" s="167">
        <f t="shared" si="7"/>
        <v>168.15</v>
      </c>
      <c r="J17" s="167">
        <f t="shared" si="8"/>
        <v>13.188235294117646</v>
      </c>
      <c r="K17" s="167">
        <f>Меню!H1467</f>
        <v>654.862</v>
      </c>
      <c r="L17" s="167">
        <f t="shared" si="9"/>
        <v>130.9724</v>
      </c>
      <c r="M17" s="167">
        <f t="shared" si="10"/>
        <v>25.68086274509804</v>
      </c>
      <c r="N17" s="167">
        <f>Меню!H1505</f>
        <v>2553.295846153846</v>
      </c>
      <c r="O17" s="181">
        <f t="shared" si="11"/>
        <v>100.12924886877828</v>
      </c>
      <c r="Q17" s="142">
        <f>Меню!E1505</f>
        <v>74.13799999999999</v>
      </c>
      <c r="R17" s="142">
        <f>Меню!F1505</f>
        <v>84.97153846153847</v>
      </c>
      <c r="S17" s="142">
        <f>Меню!G1505</f>
        <v>374.14</v>
      </c>
      <c r="T17" s="142">
        <f>Меню!H1505</f>
        <v>2553.295846153846</v>
      </c>
      <c r="U17" s="146">
        <f t="shared" si="0"/>
        <v>0.8725039153381673</v>
      </c>
      <c r="V17" s="147">
        <f t="shared" si="1"/>
        <v>1.1461266619215311</v>
      </c>
      <c r="W17" s="148">
        <f t="shared" si="2"/>
        <v>5.046534840432707</v>
      </c>
    </row>
    <row r="18" spans="1:23" s="133" customFormat="1" ht="22.5" customHeight="1" thickBot="1">
      <c r="A18" s="182" t="s">
        <v>101</v>
      </c>
      <c r="B18" s="169">
        <f>Меню!H1511</f>
        <v>653</v>
      </c>
      <c r="C18" s="169">
        <f t="shared" si="3"/>
        <v>130.6</v>
      </c>
      <c r="D18" s="167">
        <f t="shared" si="4"/>
        <v>25.607843137254903</v>
      </c>
      <c r="E18" s="169">
        <f>Меню!H1533</f>
        <v>832.9</v>
      </c>
      <c r="F18" s="169">
        <f t="shared" si="5"/>
        <v>118.98571428571428</v>
      </c>
      <c r="G18" s="167">
        <f t="shared" si="6"/>
        <v>32.66274509803922</v>
      </c>
      <c r="H18" s="169">
        <f>Меню!H1578</f>
        <v>288.5</v>
      </c>
      <c r="I18" s="169">
        <f t="shared" si="7"/>
        <v>144.25</v>
      </c>
      <c r="J18" s="167">
        <f t="shared" si="8"/>
        <v>11.313725490196079</v>
      </c>
      <c r="K18" s="169">
        <f>Меню!H1582</f>
        <v>763.4</v>
      </c>
      <c r="L18" s="169">
        <f t="shared" si="9"/>
        <v>152.68</v>
      </c>
      <c r="M18" s="167">
        <f t="shared" si="10"/>
        <v>29.937254901960785</v>
      </c>
      <c r="N18" s="169">
        <f>Меню!H1609</f>
        <v>2537.8</v>
      </c>
      <c r="O18" s="181">
        <f t="shared" si="11"/>
        <v>99.52156862745099</v>
      </c>
      <c r="Q18" s="138">
        <f>Меню!E1609</f>
        <v>80.05000000000001</v>
      </c>
      <c r="R18" s="138">
        <f>Меню!F1609</f>
        <v>89.30000000000001</v>
      </c>
      <c r="S18" s="179">
        <f>Меню!G1609</f>
        <v>353.6</v>
      </c>
      <c r="T18" s="138">
        <f>Меню!H1609</f>
        <v>2537.8</v>
      </c>
      <c r="U18" s="171">
        <f t="shared" si="0"/>
        <v>0.8964165733482643</v>
      </c>
      <c r="V18" s="172">
        <f t="shared" si="1"/>
        <v>1.1155527795128044</v>
      </c>
      <c r="W18" s="176">
        <f t="shared" si="2"/>
        <v>4.417239225484072</v>
      </c>
    </row>
    <row r="19" spans="1:23" s="133" customFormat="1" ht="48" customHeight="1" thickBot="1">
      <c r="A19" s="197" t="s">
        <v>261</v>
      </c>
      <c r="B19" s="173">
        <f>(B14+B13+B12+B11+B10+B9+B8+B7+B6+B5+B15+B16+B17+B18)/14</f>
        <v>648.6457142857143</v>
      </c>
      <c r="C19" s="173"/>
      <c r="D19" s="173">
        <f aca="true" t="shared" si="12" ref="D19:O19">(D14+D13+D12+D11+D10+D9+D8+D7+D6+D5+D15+D16+D17+D18)/14</f>
        <v>25.437086834733893</v>
      </c>
      <c r="E19" s="173">
        <f t="shared" si="12"/>
        <v>944.1867449484516</v>
      </c>
      <c r="F19" s="173"/>
      <c r="G19" s="173">
        <f t="shared" si="12"/>
        <v>37.02693117444909</v>
      </c>
      <c r="H19" s="173">
        <f t="shared" si="12"/>
        <v>284.6223809523809</v>
      </c>
      <c r="I19" s="173"/>
      <c r="J19" s="173">
        <f t="shared" si="12"/>
        <v>11.161661998132587</v>
      </c>
      <c r="K19" s="173">
        <f t="shared" si="12"/>
        <v>689.6169874411302</v>
      </c>
      <c r="L19" s="173"/>
      <c r="M19" s="173">
        <f t="shared" si="12"/>
        <v>27.04380342906393</v>
      </c>
      <c r="N19" s="173">
        <f t="shared" si="12"/>
        <v>2579.708970484821</v>
      </c>
      <c r="O19" s="253">
        <f t="shared" si="12"/>
        <v>101.16505766607136</v>
      </c>
      <c r="Q19" s="136">
        <f>(Q18+Q17+Q16+Q15+Q14+Q13+Q12+Q11+Q10+Q9+Q8+Q7+Q6+Q5)/14</f>
        <v>76.96268218164458</v>
      </c>
      <c r="R19" s="136">
        <f>(R18+R17+R16+R15+R14+R13+R12+R11+R10+R9+R8+R7+R6+R5)/14</f>
        <v>82.35701465201464</v>
      </c>
      <c r="S19" s="136">
        <f>(S18+S17+S16+S15+S14+S13+S12+S11+S10+S9+S8+S7+S6+S5)/14</f>
        <v>368.2689560439561</v>
      </c>
      <c r="T19" s="136">
        <f>(T18+T17+T16+T15+T14+T13+T12+T11+T10+T9+T8+T7+T6+T5)/14</f>
        <v>2579.7089704848195</v>
      </c>
      <c r="U19" s="89">
        <f>Q19/R19</f>
        <v>0.9345006312678661</v>
      </c>
      <c r="V19" s="90">
        <f>R19/Q19</f>
        <v>1.0700902348704344</v>
      </c>
      <c r="W19" s="91">
        <f>S19/Q19</f>
        <v>4.785032766591747</v>
      </c>
    </row>
    <row r="20" spans="1:16" s="133" customFormat="1" ht="17.25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1"/>
      <c r="P20" s="134"/>
    </row>
    <row r="21" spans="1:16" ht="13.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19"/>
    </row>
    <row r="22" spans="1:16" ht="42.75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19"/>
    </row>
    <row r="23" spans="1:16" ht="12.7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19"/>
    </row>
    <row r="24" spans="1:16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19"/>
    </row>
    <row r="25" spans="1:16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19"/>
    </row>
    <row r="26" spans="1:16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19"/>
    </row>
    <row r="27" spans="1:16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19"/>
    </row>
    <row r="28" ht="12.75">
      <c r="P28" s="19"/>
    </row>
    <row r="29" ht="12.75">
      <c r="P29" s="19"/>
    </row>
  </sheetData>
  <sheetProtection password="CF7A" sheet="1"/>
  <mergeCells count="14">
    <mergeCell ref="G3:G4"/>
    <mergeCell ref="E2:G2"/>
    <mergeCell ref="B2:D2"/>
    <mergeCell ref="H2:J2"/>
    <mergeCell ref="A1:O1"/>
    <mergeCell ref="Q2:S2"/>
    <mergeCell ref="I3:I4"/>
    <mergeCell ref="A2:A4"/>
    <mergeCell ref="J3:J4"/>
    <mergeCell ref="M3:M4"/>
    <mergeCell ref="K2:M2"/>
    <mergeCell ref="N2:O2"/>
    <mergeCell ref="O3:O4"/>
    <mergeCell ref="D3:D4"/>
  </mergeCells>
  <printOptions/>
  <pageMargins left="0.8" right="0" top="0.47" bottom="0" header="0.5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.</cp:lastModifiedBy>
  <cp:lastPrinted>2015-10-19T08:37:51Z</cp:lastPrinted>
  <dcterms:created xsi:type="dcterms:W3CDTF">2007-09-05T08:16:41Z</dcterms:created>
  <dcterms:modified xsi:type="dcterms:W3CDTF">2015-10-19T09:20:54Z</dcterms:modified>
  <cp:category/>
  <cp:version/>
  <cp:contentType/>
  <cp:contentStatus/>
</cp:coreProperties>
</file>