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tabRatio="650" activeTab="0"/>
  </bookViews>
  <sheets>
    <sheet name="Меню" sheetId="1" r:id="rId1"/>
    <sheet name="Накопительная" sheetId="2" r:id="rId2"/>
    <sheet name="сетка" sheetId="3" r:id="rId3"/>
    <sheet name="ккал" sheetId="4" r:id="rId4"/>
    <sheet name="Лист1" sheetId="5" r:id="rId5"/>
  </sheets>
  <definedNames>
    <definedName name="_xlnm._FilterDatabase" localSheetId="0" hidden="1">'Меню'!$A$1:$A$1751</definedName>
  </definedNames>
  <calcPr fullCalcOnLoad="1"/>
</workbook>
</file>

<file path=xl/sharedStrings.xml><?xml version="1.0" encoding="utf-8"?>
<sst xmlns="http://schemas.openxmlformats.org/spreadsheetml/2006/main" count="2512" uniqueCount="603">
  <si>
    <t>МЕНЮ</t>
  </si>
  <si>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</si>
  <si>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</si>
  <si>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</si>
  <si>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</si>
  <si>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</si>
  <si>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</si>
  <si>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</si>
  <si>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</si>
  <si>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</si>
  <si>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</si>
  <si>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</si>
  <si>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сахар</t>
  </si>
  <si>
    <t xml:space="preserve">масло сливочное </t>
  </si>
  <si>
    <t>Чай с лимоном</t>
  </si>
  <si>
    <t>200/5</t>
  </si>
  <si>
    <t>чай - заварка</t>
  </si>
  <si>
    <t>лимон</t>
  </si>
  <si>
    <t>Обед</t>
  </si>
  <si>
    <t>с 01.01 - 25%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</si>
  <si>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</si>
  <si>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</si>
  <si>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</si>
  <si>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</si>
  <si>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</si>
  <si>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</si>
  <si>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</si>
  <si>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масло сливочное</t>
  </si>
  <si>
    <t>мука пшеничная</t>
  </si>
  <si>
    <t>яйца</t>
  </si>
  <si>
    <t>Ужин</t>
  </si>
  <si>
    <t>крупа рисовая</t>
  </si>
  <si>
    <t>Меню</t>
  </si>
  <si>
    <t>2 день</t>
  </si>
  <si>
    <t>крупа манная</t>
  </si>
  <si>
    <t>Бутерброд с сыром</t>
  </si>
  <si>
    <t>хлеб пшеничный</t>
  </si>
  <si>
    <t>Чай с сахаром</t>
  </si>
  <si>
    <t>3 день</t>
  </si>
  <si>
    <t>Чай с молоком</t>
  </si>
  <si>
    <t>горошек зеленый консервированный</t>
  </si>
  <si>
    <t>4 день</t>
  </si>
  <si>
    <t>5 день</t>
  </si>
  <si>
    <t>курага</t>
  </si>
  <si>
    <t>6 день</t>
  </si>
  <si>
    <t>Капуста тушеная</t>
  </si>
  <si>
    <t>капуста белокочанная свежая</t>
  </si>
  <si>
    <t>Компот из свежих плодов</t>
  </si>
  <si>
    <t>7 день</t>
  </si>
  <si>
    <t>Картофельное пюре</t>
  </si>
  <si>
    <t>8 день</t>
  </si>
  <si>
    <t>сыр</t>
  </si>
  <si>
    <t>курица потрошеная 1 категории</t>
  </si>
  <si>
    <t>свекла - до 01.01 - 20%</t>
  </si>
  <si>
    <t>9 день</t>
  </si>
  <si>
    <t>Каша пшеничная с маслом</t>
  </si>
  <si>
    <t>крупа пшеничная</t>
  </si>
  <si>
    <t>кукуруза консервированная</t>
  </si>
  <si>
    <r>
      <t xml:space="preserve">Завтрак </t>
    </r>
  </si>
  <si>
    <r>
      <t>Обед</t>
    </r>
  </si>
  <si>
    <t>Компот из сухофруктов</t>
  </si>
  <si>
    <t>Полдник</t>
  </si>
  <si>
    <t>говядина 1 категории</t>
  </si>
  <si>
    <t>крупа пшенная</t>
  </si>
  <si>
    <t>крупа "Геркулес"</t>
  </si>
  <si>
    <t>Масло растительное</t>
  </si>
  <si>
    <t>сухофрукты</t>
  </si>
  <si>
    <t>изюм</t>
  </si>
  <si>
    <t>10 день</t>
  </si>
  <si>
    <t>говядина полуфабрикат</t>
  </si>
  <si>
    <t>зелень (петрушка, укроп)</t>
  </si>
  <si>
    <t xml:space="preserve">Компот из кураги </t>
  </si>
  <si>
    <t>Хлеб ржаной</t>
  </si>
  <si>
    <t>или говядина 1 категории</t>
  </si>
  <si>
    <t>или говядина полуфабрикат</t>
  </si>
  <si>
    <t>№</t>
  </si>
  <si>
    <t>Продукты</t>
  </si>
  <si>
    <t>Ккал</t>
  </si>
  <si>
    <t>Дни</t>
  </si>
  <si>
    <t>белки</t>
  </si>
  <si>
    <t>жиры</t>
  </si>
  <si>
    <t>углеводы</t>
  </si>
  <si>
    <t xml:space="preserve">Хлеб пшеничный </t>
  </si>
  <si>
    <t xml:space="preserve">Мука </t>
  </si>
  <si>
    <t>Овощи, зелень</t>
  </si>
  <si>
    <t>Фрукты свежие</t>
  </si>
  <si>
    <t>Фрукты сухие</t>
  </si>
  <si>
    <t>Сахар</t>
  </si>
  <si>
    <t>Чай</t>
  </si>
  <si>
    <t>Рыба свежая</t>
  </si>
  <si>
    <t>Творог</t>
  </si>
  <si>
    <t>Сметана</t>
  </si>
  <si>
    <t>Масло сливочное</t>
  </si>
  <si>
    <t>Яйцо куриное</t>
  </si>
  <si>
    <t>Рис припущенный с овощами</t>
  </si>
  <si>
    <t>сметана</t>
  </si>
  <si>
    <t>ванилин</t>
  </si>
  <si>
    <t>11 день</t>
  </si>
  <si>
    <t>капуста цветная замороженная</t>
  </si>
  <si>
    <t>12 день</t>
  </si>
  <si>
    <t>13 день</t>
  </si>
  <si>
    <t>Отвар шиповника</t>
  </si>
  <si>
    <t>дрожжи прессованные</t>
  </si>
  <si>
    <t>14 день</t>
  </si>
  <si>
    <t>какао-порошок</t>
  </si>
  <si>
    <t>сахарная пудра</t>
  </si>
  <si>
    <t>шиповник</t>
  </si>
  <si>
    <t>макаронные изделия</t>
  </si>
  <si>
    <t>Пирог манный</t>
  </si>
  <si>
    <t>Каша "Геркулес" с маслом</t>
  </si>
  <si>
    <t>вода питьевая</t>
  </si>
  <si>
    <t>Омлет натуральный с маслом</t>
  </si>
  <si>
    <t>крупа гречневая</t>
  </si>
  <si>
    <t>Салат из белокочанной капусты с огурцом</t>
  </si>
  <si>
    <t>или лук зелёный</t>
  </si>
  <si>
    <t>или лук  репчатый</t>
  </si>
  <si>
    <t>Салат из свежих помидор и огурцов</t>
  </si>
  <si>
    <t>или минтай потрошенный обезглавленный (филе с кожей без костей)</t>
  </si>
  <si>
    <t>чеснок</t>
  </si>
  <si>
    <t>масло растительное для смазки листа</t>
  </si>
  <si>
    <t>тесто</t>
  </si>
  <si>
    <t>фарш</t>
  </si>
  <si>
    <t>помидоры свежие парниковые</t>
  </si>
  <si>
    <t>лук репчатый* (бланшированный)</t>
  </si>
  <si>
    <t>Факт  в день, г</t>
  </si>
  <si>
    <t>Химический состав, г</t>
  </si>
  <si>
    <t>Крупы, макаронные и бобовые изделия</t>
  </si>
  <si>
    <t>Соки, компоты консерв.</t>
  </si>
  <si>
    <t>Кофе, кофейный напиток</t>
  </si>
  <si>
    <t>Мясо</t>
  </si>
  <si>
    <t>Колбасные изделия</t>
  </si>
  <si>
    <t>Молоко, кисломолочные</t>
  </si>
  <si>
    <t>% выполнения</t>
  </si>
  <si>
    <t>Расстегай московский</t>
  </si>
  <si>
    <t>Сыр, сыр плавленый</t>
  </si>
  <si>
    <t>Пирожок с яблоками</t>
  </si>
  <si>
    <t xml:space="preserve">Картофель </t>
  </si>
  <si>
    <t>Мясо, птица</t>
  </si>
  <si>
    <t>Картофель</t>
  </si>
  <si>
    <t xml:space="preserve">Салат из свежих огурцов с зеленым луком </t>
  </si>
  <si>
    <t>за 14 дней, г</t>
  </si>
  <si>
    <t xml:space="preserve">ИТОГО </t>
  </si>
  <si>
    <t>ИТОГО</t>
  </si>
  <si>
    <t>Сосиски, сардельки отварные с маслом</t>
  </si>
  <si>
    <t>сосиски или сардельки высшего сорта</t>
  </si>
  <si>
    <t>или  капуста цветная замороженная</t>
  </si>
  <si>
    <t>Картофель отварной с маслом и зеленью</t>
  </si>
  <si>
    <t>фасоль или горох лущеный</t>
  </si>
  <si>
    <t>хлеб пшеничный для гренок</t>
  </si>
  <si>
    <t>молоко питьевое</t>
  </si>
  <si>
    <t>соль йодированная</t>
  </si>
  <si>
    <t xml:space="preserve">2 завтрак </t>
  </si>
  <si>
    <t>Кофейный напиток</t>
  </si>
  <si>
    <t>горбуша потрошенная с головой (филе без кожи и костей)</t>
  </si>
  <si>
    <t>ЗАВТРАК</t>
  </si>
  <si>
    <t>2 завтрак</t>
  </si>
  <si>
    <t>ОБЕД</t>
  </si>
  <si>
    <t>ПОЛДНИК</t>
  </si>
  <si>
    <t>УЖИН</t>
  </si>
  <si>
    <t>Винегрет  овощной</t>
  </si>
  <si>
    <t>Макаронные изделия отварные</t>
  </si>
  <si>
    <t xml:space="preserve">сахар </t>
  </si>
  <si>
    <t>масса теста</t>
  </si>
  <si>
    <t>огурцы свежие парниковые</t>
  </si>
  <si>
    <t>или горбуша потрошенная с головой (филе без кожи и костей)</t>
  </si>
  <si>
    <t>или горбуша неразделанная (филе без кожи и костей)</t>
  </si>
  <si>
    <t>Компот из изюма</t>
  </si>
  <si>
    <t>сухари пшеничные</t>
  </si>
  <si>
    <t>Бефстроганов</t>
  </si>
  <si>
    <t>соус сметанный</t>
  </si>
  <si>
    <t xml:space="preserve">перец свежий </t>
  </si>
  <si>
    <t>или лапша яичная промышленного производства</t>
  </si>
  <si>
    <t xml:space="preserve">           сахар</t>
  </si>
  <si>
    <t>масса фарша</t>
  </si>
  <si>
    <t xml:space="preserve">крупа манная </t>
  </si>
  <si>
    <t>или мука пшеничная</t>
  </si>
  <si>
    <t>яблоки свежие  (с удаленным семенным гнездом, очищенные от кожицы)</t>
  </si>
  <si>
    <t>Масса припущенных яблок</t>
  </si>
  <si>
    <t>масло сливочное для смазки листа</t>
  </si>
  <si>
    <t xml:space="preserve"> сухари пшеничные</t>
  </si>
  <si>
    <t>Бутерброд с маслом с сыром</t>
  </si>
  <si>
    <t>кофейный напиток</t>
  </si>
  <si>
    <t>Какао с молоком</t>
  </si>
  <si>
    <t xml:space="preserve">сыр </t>
  </si>
  <si>
    <t xml:space="preserve"> или кета слабосоленая (филе)</t>
  </si>
  <si>
    <t xml:space="preserve">или лосось слабосоленый (филе) </t>
  </si>
  <si>
    <t>Рыба слабосоленая порциями</t>
  </si>
  <si>
    <t>горбуша потрошенная с головой (филе с кожей без костей)</t>
  </si>
  <si>
    <t>или горбуша неразделанная (филе с кожей без костей)</t>
  </si>
  <si>
    <t xml:space="preserve">или лосось неразделанный (филе с кожей без костей) </t>
  </si>
  <si>
    <t>Кисель из свежих ягод</t>
  </si>
  <si>
    <t>крахмал</t>
  </si>
  <si>
    <t>клюква, или брусника</t>
  </si>
  <si>
    <t>Чай с мёдом</t>
  </si>
  <si>
    <t>Компот "Здоровье"</t>
  </si>
  <si>
    <t>НОРМА</t>
  </si>
  <si>
    <t>или семга слабосоленая (филе)</t>
  </si>
  <si>
    <t>Рыба "Лакомка" с маслом</t>
  </si>
  <si>
    <t>Фактически получено, г**</t>
  </si>
  <si>
    <t>** - количество потребленных продуктов округлено до целого числа</t>
  </si>
  <si>
    <t>или капуста свежая белокочанная</t>
  </si>
  <si>
    <t>смородина, или клюква, или брусника</t>
  </si>
  <si>
    <t>яблоки  свежие (с удаленным семенным гнездом)</t>
  </si>
  <si>
    <t xml:space="preserve">Каша "Янтарная" (из пшена с яблоками) с маслом </t>
  </si>
  <si>
    <t>лосось потрошенный с головой (филе без кожи и костей)</t>
  </si>
  <si>
    <t>фрикадельки</t>
  </si>
  <si>
    <t>молоко питьевое или вода питьевая</t>
  </si>
  <si>
    <t>Кондитерские изделия</t>
  </si>
  <si>
    <t xml:space="preserve">Птица 1 категории </t>
  </si>
  <si>
    <t>крах</t>
  </si>
  <si>
    <t>20/15/5</t>
  </si>
  <si>
    <t>Бризоль из курицы с маслом</t>
  </si>
  <si>
    <t>90/5</t>
  </si>
  <si>
    <t>огурцы соленые</t>
  </si>
  <si>
    <t>или молоко витаминизированное в индивидуальной упаковке</t>
  </si>
  <si>
    <t>томатная паста (без содержания красителей и консервантов)</t>
  </si>
  <si>
    <t>20/15</t>
  </si>
  <si>
    <t>дрожжи</t>
  </si>
  <si>
    <t>Дрожжи</t>
  </si>
  <si>
    <t>дрож</t>
  </si>
  <si>
    <t>масса готового филе</t>
  </si>
  <si>
    <t>яйца для смазки изделия</t>
  </si>
  <si>
    <t>или помидоры свежие парниковые</t>
  </si>
  <si>
    <t>огурцы свежие грунтовые</t>
  </si>
  <si>
    <t>или огурцы свежие парниковые</t>
  </si>
  <si>
    <t>лук зелёный</t>
  </si>
  <si>
    <t>или огурцы свежие грунтовые</t>
  </si>
  <si>
    <t>или помидоры свежие грунтовые</t>
  </si>
  <si>
    <t>или перец болгарский</t>
  </si>
  <si>
    <t>масса отварной моркови</t>
  </si>
  <si>
    <t>или дрожжи сухие</t>
  </si>
  <si>
    <t>Овощной микс с маслом</t>
  </si>
  <si>
    <t>Второй ужин</t>
  </si>
  <si>
    <t xml:space="preserve">1 и 2 завтраки (суммарно) </t>
  </si>
  <si>
    <t>ккал</t>
  </si>
  <si>
    <t>35-40% от суточного рациона</t>
  </si>
  <si>
    <t>10-15% от суточного рациона</t>
  </si>
  <si>
    <t>20-30% от суточного рациона</t>
  </si>
  <si>
    <t xml:space="preserve">1 и 2 ужины (суммарно) </t>
  </si>
  <si>
    <t>Итого за день</t>
  </si>
  <si>
    <t>Овощи на подгарнировку</t>
  </si>
  <si>
    <t>или фарш куриный промышленного производства</t>
  </si>
  <si>
    <t>220/5</t>
  </si>
  <si>
    <t>70/5</t>
  </si>
  <si>
    <t>110/5</t>
  </si>
  <si>
    <t xml:space="preserve">Нарезка из свежих помидор с луком </t>
  </si>
  <si>
    <t>масса готового мяса</t>
  </si>
  <si>
    <t>250/20</t>
  </si>
  <si>
    <t>250/30</t>
  </si>
  <si>
    <t>70/5/40</t>
  </si>
  <si>
    <t>или помидоры соленые</t>
  </si>
  <si>
    <t xml:space="preserve">Овощи припущенные с маслом </t>
  </si>
  <si>
    <t xml:space="preserve">или лосось неразделанный (филе без кожи без костей) </t>
  </si>
  <si>
    <t>горошек зеленый консервированный после термической обработки</t>
  </si>
  <si>
    <t>Фрикадельки из говядины запеченные в соусе</t>
  </si>
  <si>
    <t>Рыба (филе)</t>
  </si>
  <si>
    <t>Говядина, тушенная в сметанном соусе</t>
  </si>
  <si>
    <t>Кисломолочный напиток 2,5% жирности (йогурт, снежок, бифидок, биокефир, биоряженка и др.)</t>
  </si>
  <si>
    <t>Хлеб пшеничный или хлеб витаминизированный</t>
  </si>
  <si>
    <t>ИЛИ</t>
  </si>
  <si>
    <t>Печень, тушённая в сметанном соусе</t>
  </si>
  <si>
    <t>печень говяжья</t>
  </si>
  <si>
    <t>Мука пшеничная</t>
  </si>
  <si>
    <t>Сыр</t>
  </si>
  <si>
    <t xml:space="preserve">***- 1 шт. яйца - средняя масса 40 г </t>
  </si>
  <si>
    <t>Кондитерское изделие (кексы, рулеты с повидлом, бисквит без крема)</t>
  </si>
  <si>
    <t>70/30</t>
  </si>
  <si>
    <t>Молоко питьевое кипяченое (2,5% жирности)</t>
  </si>
  <si>
    <t>250/5</t>
  </si>
  <si>
    <t>Салат Зеленый</t>
  </si>
  <si>
    <t>100 % от суточного рациона</t>
  </si>
  <si>
    <t>Хлеб пшеничный</t>
  </si>
  <si>
    <t>ИТОГО в среднем за 14 дней</t>
  </si>
  <si>
    <t xml:space="preserve">или огурцы свежие грунтовые </t>
  </si>
  <si>
    <t>Омлет с сыром, с маслом с подгарнировкой</t>
  </si>
  <si>
    <t>250/10/5</t>
  </si>
  <si>
    <t>Говядина тушённая в сметанном соусе с овощами</t>
  </si>
  <si>
    <t>Картофель запеченный с  сыром  и маслом, с подгарнировкой</t>
  </si>
  <si>
    <t>Огурцы соленые</t>
  </si>
  <si>
    <t>Яйцо отварное</t>
  </si>
  <si>
    <t>Суп картофельный с рыбными консервами и зеленью</t>
  </si>
  <si>
    <t>консервы рыбные в собственном соку или с добавлением масла</t>
  </si>
  <si>
    <t xml:space="preserve">Суп молочный с крупой </t>
  </si>
  <si>
    <t>масса отварного мяса</t>
  </si>
  <si>
    <t>бульон мясной</t>
  </si>
  <si>
    <t>соус молочный густой</t>
  </si>
  <si>
    <t>масло сливочное на смазку</t>
  </si>
  <si>
    <t>Суфле из говядины с маслом</t>
  </si>
  <si>
    <t>Салат "Пестрый"</t>
  </si>
  <si>
    <t>помидоры свежие грунтовые</t>
  </si>
  <si>
    <t>петрушка  свежая</t>
  </si>
  <si>
    <t>укроп  свежий</t>
  </si>
  <si>
    <t>лимон (для сока)</t>
  </si>
  <si>
    <t>Пирог "Зебра"</t>
  </si>
  <si>
    <t>мука пшениная</t>
  </si>
  <si>
    <t>Натрий двууглекислый</t>
  </si>
  <si>
    <t>крупа кукурузная</t>
  </si>
  <si>
    <t>Каша кукурузная жидкая с маслом</t>
  </si>
  <si>
    <t>или</t>
  </si>
  <si>
    <t>Каша "Дружба" с маслом</t>
  </si>
  <si>
    <t>морская капуста консервированная без уксуса</t>
  </si>
  <si>
    <t>лук зеленый</t>
  </si>
  <si>
    <t xml:space="preserve">или </t>
  </si>
  <si>
    <t>Винегрет  с морской капустой</t>
  </si>
  <si>
    <t>или лук зеленый</t>
  </si>
  <si>
    <t>или капуста квашеная промышленного производства</t>
  </si>
  <si>
    <t>фасоль</t>
  </si>
  <si>
    <t xml:space="preserve">колбаса полукопченая </t>
  </si>
  <si>
    <t xml:space="preserve">Колбаски "Витаминные" из птицы с маслом </t>
  </si>
  <si>
    <t>грудка куриная (мякоть с кожей)</t>
  </si>
  <si>
    <t>Говядина тушеная с капустой</t>
  </si>
  <si>
    <t>№ рецептуры</t>
  </si>
  <si>
    <t>Витамин С, мг</t>
  </si>
  <si>
    <t>Норма в день, брутто, г*</t>
  </si>
  <si>
    <t>Хлеб ржаной (ржано - пшеничный)</t>
  </si>
  <si>
    <t xml:space="preserve">Крупы, бобовые </t>
  </si>
  <si>
    <t>Макаронные изделия</t>
  </si>
  <si>
    <t>Овощи свежие, зелень</t>
  </si>
  <si>
    <t>Фрукты (плоды) свежие</t>
  </si>
  <si>
    <t>Фрукты (плоды) сухие, в том числе шиповник</t>
  </si>
  <si>
    <t>Соки плодоовощные, напитки витаминизированные, в т.ч. инстантные</t>
  </si>
  <si>
    <t xml:space="preserve">Мясо 1 категории </t>
  </si>
  <si>
    <t>Цыплята 1 категории потрошенные</t>
  </si>
  <si>
    <t>Молоко (массовая доля жира 2,5%, 3,2%)</t>
  </si>
  <si>
    <t>Кисломолочные продукты (массовая доля жира 2,5%, 3,2%)</t>
  </si>
  <si>
    <t>Творог ( массовая доля жира не более 9%)</t>
  </si>
  <si>
    <t>Сметана (массовая доля жира не более 15%)</t>
  </si>
  <si>
    <t>Какао</t>
  </si>
  <si>
    <t>Соль</t>
  </si>
  <si>
    <t>Яйцо диетическое***</t>
  </si>
  <si>
    <t>макар</t>
  </si>
  <si>
    <t>кисло</t>
  </si>
  <si>
    <t>колбаса полукопченая</t>
  </si>
  <si>
    <t>20/10</t>
  </si>
  <si>
    <t>Суп молочный с макаронными изделиями</t>
  </si>
  <si>
    <t>№160-2004</t>
  </si>
  <si>
    <t>№161-2004</t>
  </si>
  <si>
    <t>крупа хлопья овсяные "Геркулес"</t>
  </si>
  <si>
    <t>или ячневая, или пшено, или гречневая</t>
  </si>
  <si>
    <t>Гречка отварная вязкая</t>
  </si>
  <si>
    <t>вода питьвая</t>
  </si>
  <si>
    <t>Рис припущенный с кукурузой</t>
  </si>
  <si>
    <t>огурцы солёные (без  уксуса)</t>
  </si>
  <si>
    <t>Каша "Ароматная" с маслом</t>
  </si>
  <si>
    <t>крупа пшено</t>
  </si>
  <si>
    <t>Фрукт (бананы, апельсины, мандарины,  яблоки, груши, киви, персики, абрикосы, сливы, черешня и т.д.)</t>
  </si>
  <si>
    <t>или груши свежие (с удаленным семенным гнездом)</t>
  </si>
  <si>
    <t>яблоки свежие  (с удаленным семенным гнездом)</t>
  </si>
  <si>
    <t>ТТК</t>
  </si>
  <si>
    <t>250/10/10/10/5</t>
  </si>
  <si>
    <t>№311-2004</t>
  </si>
  <si>
    <t>№340-2004</t>
  </si>
  <si>
    <t>№1,3-2004</t>
  </si>
  <si>
    <t>№685-2004</t>
  </si>
  <si>
    <t>Бутерброд с маслом</t>
  </si>
  <si>
    <t>масло сливочное или масло шоколадное</t>
  </si>
  <si>
    <t>хлеб пшеничный или батон нарезной</t>
  </si>
  <si>
    <t>№1-2004</t>
  </si>
  <si>
    <t>№20-2004</t>
  </si>
  <si>
    <t>№471-2004</t>
  </si>
  <si>
    <t>№639-2004</t>
  </si>
  <si>
    <t>№640-2004</t>
  </si>
  <si>
    <t>№692-2004</t>
  </si>
  <si>
    <t>№413-2004</t>
  </si>
  <si>
    <t>№520-2004</t>
  </si>
  <si>
    <t>№693-2004</t>
  </si>
  <si>
    <t>№440-2004</t>
  </si>
  <si>
    <t>№342-2004</t>
  </si>
  <si>
    <t>№13-2004</t>
  </si>
  <si>
    <t>№124-2004</t>
  </si>
  <si>
    <t>№697-2004</t>
  </si>
  <si>
    <t>№71-2004</t>
  </si>
  <si>
    <t>№698-2004</t>
  </si>
  <si>
    <t>№203-2004</t>
  </si>
  <si>
    <t>№157-2004</t>
  </si>
  <si>
    <t>№332-2004</t>
  </si>
  <si>
    <t>№3-2004</t>
  </si>
  <si>
    <t>№130-2004</t>
  </si>
  <si>
    <t>№631-2004</t>
  </si>
  <si>
    <t>№638-2004</t>
  </si>
  <si>
    <t>№135-2004</t>
  </si>
  <si>
    <t>№171-2004</t>
  </si>
  <si>
    <t>№371-2004</t>
  </si>
  <si>
    <t>№9.8 - Картотека блюд, 2ч.1995</t>
  </si>
  <si>
    <t xml:space="preserve">хлеб пшеничный </t>
  </si>
  <si>
    <t xml:space="preserve">помидоры свежие парниковые </t>
  </si>
  <si>
    <t>20/10/15</t>
  </si>
  <si>
    <t>Бутерброд с колбасой и помидором свежим</t>
  </si>
  <si>
    <t>№6-2004</t>
  </si>
  <si>
    <t xml:space="preserve">Бутерброд горячий </t>
  </si>
  <si>
    <t>капуста белокочанная свежая нового урожая</t>
  </si>
  <si>
    <t>№686-2004</t>
  </si>
  <si>
    <t>№266-2001, Пермь</t>
  </si>
  <si>
    <t>Цикорий с молоком</t>
  </si>
  <si>
    <t>Фито-чай с сахаром</t>
  </si>
  <si>
    <t>Фито-чай для детей (с мятой или душицей или ромашкой или липой)</t>
  </si>
  <si>
    <t>Цикорий растворимый</t>
  </si>
  <si>
    <t>№689-2004</t>
  </si>
  <si>
    <t>Мучное изделие промышленного производства</t>
  </si>
  <si>
    <t>или мучное изделие промышленного производства, обогащенное витаминами и минералами</t>
  </si>
  <si>
    <t>735    840</t>
  </si>
  <si>
    <t>210             315</t>
  </si>
  <si>
    <t>Ватрушка "Царская" (творожное блюдо)</t>
  </si>
  <si>
    <t>творог</t>
  </si>
  <si>
    <t>крошка</t>
  </si>
  <si>
    <t>молоко сгущенное с сахаром</t>
  </si>
  <si>
    <t>Пудинг из творога с молоком сгущенным</t>
  </si>
  <si>
    <t>Запеканка творожная с яблоками с молоком сгущенным</t>
  </si>
  <si>
    <t>Запеканка творожная с молоком сгущенным</t>
  </si>
  <si>
    <t>200/10</t>
  </si>
  <si>
    <t xml:space="preserve">мёд </t>
  </si>
  <si>
    <t>№19-2004</t>
  </si>
  <si>
    <t>№64-2001, Пермь</t>
  </si>
  <si>
    <t>250/25</t>
  </si>
  <si>
    <t>или фарш промышленного производства</t>
  </si>
  <si>
    <t>сухари панировочные</t>
  </si>
  <si>
    <t>или лук зеленный</t>
  </si>
  <si>
    <t>Салат "Аппетитный"</t>
  </si>
  <si>
    <t xml:space="preserve">Салат из свежих огурцов </t>
  </si>
  <si>
    <t>№16-2004</t>
  </si>
  <si>
    <t>Гуляш из говядины</t>
  </si>
  <si>
    <t>томатная паста (без искусственных ароматизаторов, красителей и консервантов)</t>
  </si>
  <si>
    <t>№437-2004</t>
  </si>
  <si>
    <t>Курица (кролик) в соусе с томатом</t>
  </si>
  <si>
    <t>№190-2001, Пермь</t>
  </si>
  <si>
    <t>или филе куриное</t>
  </si>
  <si>
    <t>грудка куриная (филе без кожи)</t>
  </si>
  <si>
    <t>или филе кролика</t>
  </si>
  <si>
    <t>вода питьевая или бульон</t>
  </si>
  <si>
    <t>Салат овощной с яблоками и сладким перцем</t>
  </si>
  <si>
    <t>перец свежий</t>
  </si>
  <si>
    <t>№23-2004</t>
  </si>
  <si>
    <t>яблоки свежие ( очищенные с удаленным семенным гнездом)</t>
  </si>
  <si>
    <t xml:space="preserve">или лук зеленный </t>
  </si>
  <si>
    <t>№14/1-2011, Екатеринбург</t>
  </si>
  <si>
    <t xml:space="preserve">горошек зеленый консервированный </t>
  </si>
  <si>
    <t>курица потрошеная 1 категории (мякоть без кожи)</t>
  </si>
  <si>
    <t>или грудка куриная на кости (мякоть без кожи)</t>
  </si>
  <si>
    <t>Рагу овощное</t>
  </si>
  <si>
    <t>№539 - 2004</t>
  </si>
  <si>
    <t>№477-2004</t>
  </si>
  <si>
    <t>№492-2004</t>
  </si>
  <si>
    <t>Курица, запеченная с маслом</t>
  </si>
  <si>
    <t>или грудка куриная на кости</t>
  </si>
  <si>
    <t>или окорочок куриный</t>
  </si>
  <si>
    <t>№494-2004</t>
  </si>
  <si>
    <t>Помидоры свежие с зеленным горошком</t>
  </si>
  <si>
    <t>Жаркое по - русски</t>
  </si>
  <si>
    <t>Соус томатный</t>
  </si>
  <si>
    <t xml:space="preserve">Филе куриное тушенное с картофелем </t>
  </si>
  <si>
    <t>Голубцы ленивые с соусом сметанным</t>
  </si>
  <si>
    <t>Соус сметанный</t>
  </si>
  <si>
    <t>№160-2001, Пермь</t>
  </si>
  <si>
    <t>90/50</t>
  </si>
  <si>
    <t xml:space="preserve">Рыба припущенная </t>
  </si>
  <si>
    <t>№423-2004</t>
  </si>
  <si>
    <t>Салат "Венгерский"</t>
  </si>
  <si>
    <t>морковь нового урожая  - до 01.01 - 20%</t>
  </si>
  <si>
    <t>Плов  по - узбекски</t>
  </si>
  <si>
    <t>№444-2004</t>
  </si>
  <si>
    <t>Плов из птицы или кролика</t>
  </si>
  <si>
    <t>№382-2004</t>
  </si>
  <si>
    <t xml:space="preserve">Биточки из говядины </t>
  </si>
  <si>
    <t>№451-2004</t>
  </si>
  <si>
    <t>№139-2004</t>
  </si>
  <si>
    <t>№433-2004</t>
  </si>
  <si>
    <t>№337-2004</t>
  </si>
  <si>
    <t>Тефтели</t>
  </si>
  <si>
    <t>масса припущенного лука</t>
  </si>
  <si>
    <t>№587-2004</t>
  </si>
  <si>
    <t>№461-2004</t>
  </si>
  <si>
    <t>№377-2004</t>
  </si>
  <si>
    <t>Салат "Полезный"</t>
  </si>
  <si>
    <t>горошек зеленый консервированный (после термической обработки)</t>
  </si>
  <si>
    <t>№534-2004</t>
  </si>
  <si>
    <t xml:space="preserve">Шницель из говядины </t>
  </si>
  <si>
    <t>яйцо куриное (1 яйцо вареное, разрезанное пополам)</t>
  </si>
  <si>
    <t>Кондитерское изделие промышленного производства в индивидуальной упаковке (зефир или мармелад, в том числе обогащенный витаминно-минеральньм комплексом)</t>
  </si>
  <si>
    <t>250/10</t>
  </si>
  <si>
    <t xml:space="preserve">Котлеты из говядины по домашнему </t>
  </si>
  <si>
    <t>Солянка домашняя со сметаной с зеленью</t>
  </si>
  <si>
    <t>колбаса вареная (высший сорт)</t>
  </si>
  <si>
    <t>№30/2-2011, Екатеринбург</t>
  </si>
  <si>
    <t>Уха рыбацкая с зеленью</t>
  </si>
  <si>
    <t>Суп из овощей  с мясными фрикадельками с зеленью</t>
  </si>
  <si>
    <t>№131-2004</t>
  </si>
  <si>
    <t>№119-2004</t>
  </si>
  <si>
    <t>Суп - пюре из картофеля с гренками с зеленью</t>
  </si>
  <si>
    <t>Суп - лапша домашняя с курицей с зеленью</t>
  </si>
  <si>
    <t>№35-2001, Пермь</t>
  </si>
  <si>
    <t>№261-2001, Пермь</t>
  </si>
  <si>
    <t>№362-2004</t>
  </si>
  <si>
    <t>Щи из свежей капусты с картофелем с мясом со сметаной с зеленью</t>
  </si>
  <si>
    <t>Суп картофельный с  бобовыми с мясом с гренками с зеленью</t>
  </si>
  <si>
    <t>250/10/10</t>
  </si>
  <si>
    <t>Борщ сибирский со сметаной с зеленью</t>
  </si>
  <si>
    <t>№111-2004</t>
  </si>
  <si>
    <t>Мясо тушеное с картофелем и овощами</t>
  </si>
  <si>
    <t>или филе минтая промышленного производства</t>
  </si>
  <si>
    <t>Распределение энергетической ценности (калорийности) на отдельные приемы пищи для детей 7-10 лет (п.10.5 СаНПин 2.4.4.3155-13)</t>
  </si>
  <si>
    <t>Норма по СанПиН 2.4.4.3155-13</t>
  </si>
  <si>
    <t>420    630</t>
  </si>
  <si>
    <t>420     630</t>
  </si>
  <si>
    <t>№707-2004</t>
  </si>
  <si>
    <t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t>
  </si>
  <si>
    <t>№738-2004</t>
  </si>
  <si>
    <t>№93-2001, Пермь</t>
  </si>
  <si>
    <t>№97-2001, Пермь</t>
  </si>
  <si>
    <t>№302-2004</t>
  </si>
  <si>
    <t>№94-1997</t>
  </si>
  <si>
    <t>Салат из перца и огурца свежего с маслом</t>
  </si>
  <si>
    <t>№12.9 - картотека блюд, 1997</t>
  </si>
  <si>
    <t xml:space="preserve">Пирожок с курагой </t>
  </si>
  <si>
    <t>крупа: перловая</t>
  </si>
  <si>
    <t>или овсяная, или пшеничная</t>
  </si>
  <si>
    <t>Суп с крупой с мясом с зеленью</t>
  </si>
  <si>
    <t>№150-2004</t>
  </si>
  <si>
    <t>№23-2001, Пермь</t>
  </si>
  <si>
    <t>№305-2004</t>
  </si>
  <si>
    <t>№698-1996</t>
  </si>
  <si>
    <t>№89-2004</t>
  </si>
  <si>
    <t>№439-2004</t>
  </si>
  <si>
    <t>№366-2004</t>
  </si>
  <si>
    <t>№43-2004</t>
  </si>
  <si>
    <t>№148-2004</t>
  </si>
  <si>
    <t>№524-2004</t>
  </si>
  <si>
    <t>ИТОГО В СРЕДНЕМ ЗА 14 ДНЕЙ:</t>
  </si>
  <si>
    <t>*  - СанПиН 2.4.4.3155-13 "Санитарно - эпидемиологические требования к устройству, содержанию и организации работы стационарных организаций отдыха  и оздоровления детей"</t>
  </si>
  <si>
    <t>хлеб пшеничный или батнон нарезной</t>
  </si>
  <si>
    <t xml:space="preserve">Примерное 14 - ти дневное меню для питания детей в загородных оздоровительных лагерях №918 от "16" мая 2014 г </t>
  </si>
  <si>
    <t>для питания детей в возрасте с 7 до 10 лет</t>
  </si>
  <si>
    <t>НАКОПИТЕЛЬНАЯ ВЕДОМОСТЬ к примерному 14 - ти дневному меню №918 от "16" мая 2014 г  (с 7 до 10 лет)</t>
  </si>
  <si>
    <t xml:space="preserve">Запеканка из творога с изюмом со сгущенным молоком </t>
  </si>
  <si>
    <t>№11/5-2011, Екатеринбург</t>
  </si>
  <si>
    <t xml:space="preserve">Омлет натуральный </t>
  </si>
  <si>
    <t>70/20</t>
  </si>
  <si>
    <t>Творожный продукт для детского питания из натуральных компонентов промышленного производства в индивидуальной упаковке ("Агуша" или "Тема" и т.д.)</t>
  </si>
  <si>
    <t>Суточная потребность в пищевых веществах для детей с 7 до 11 лет по нормативу *</t>
  </si>
  <si>
    <t>* Таблица №1 СанПиН 2.4.4.3155-13 "Санитарно - эпидемиологические требования к устройству, содержанию и организации работы стационарных организаций отдыха  и оздоровления детей"</t>
  </si>
  <si>
    <t>150/5</t>
  </si>
  <si>
    <t>Огурцы свежие на подгарнировку</t>
  </si>
  <si>
    <t>№110-2004</t>
  </si>
  <si>
    <t>Биточки рубленные из птицы или кролика "Любительские"</t>
  </si>
  <si>
    <t>или фарш промышленного производства из мяса кролика</t>
  </si>
  <si>
    <t>Каша манная  с изюмом с маслом</t>
  </si>
  <si>
    <t>Нарезка из перца и огурца свежих</t>
  </si>
  <si>
    <t>Нарезка из помидор и огурцов свежих</t>
  </si>
  <si>
    <t xml:space="preserve">Салат из свежих помидоров </t>
  </si>
  <si>
    <t>Капуста тушеная со сметаной и томатом</t>
  </si>
  <si>
    <t>Помидоры свежие или соленые</t>
  </si>
  <si>
    <t xml:space="preserve">Салат "Живая сила" </t>
  </si>
  <si>
    <t>Колбасные изделия отварные с маслом</t>
  </si>
  <si>
    <t>колбаса вареная, или сосиски, или сардельки высшего сорта</t>
  </si>
  <si>
    <t>Кисломолочный напиток 2,5% жирности (йогурт, снежок)</t>
  </si>
  <si>
    <t xml:space="preserve">сельдь слабосоленая  филе </t>
  </si>
  <si>
    <t>курица потрашеная</t>
  </si>
  <si>
    <t xml:space="preserve">чай </t>
  </si>
  <si>
    <t xml:space="preserve">лимон   </t>
  </si>
  <si>
    <t xml:space="preserve">чай заварка </t>
  </si>
  <si>
    <t xml:space="preserve">Мучное изделие собственного производства </t>
  </si>
  <si>
    <t>Бутерброд с  маслом сливочным</t>
  </si>
  <si>
    <t>30/10</t>
  </si>
  <si>
    <t xml:space="preserve">Суп - лапша домашняя с курицей </t>
  </si>
  <si>
    <t>Йогурт или кисломолочная продукция с добавлением лакто и бифидобактерий в упаковке</t>
  </si>
  <si>
    <t>Борщ с капустой и картофелем с курицей  со сметаной с зеленью</t>
  </si>
  <si>
    <t>курица потрошеная 1 кат</t>
  </si>
  <si>
    <t>Борщ волынский с курицейсо сметаной с зеленью</t>
  </si>
  <si>
    <r>
      <t>или</t>
    </r>
    <r>
      <rPr>
        <sz val="10"/>
        <rFont val="Arial Cyr"/>
        <family val="0"/>
      </rPr>
      <t xml:space="preserve"> огурцы свежие парниковые</t>
    </r>
  </si>
  <si>
    <r>
      <t>или</t>
    </r>
    <r>
      <rPr>
        <sz val="10"/>
        <rFont val="Arial Cyr"/>
        <family val="0"/>
      </rPr>
      <t xml:space="preserve"> помидоры свежие грунтовые</t>
    </r>
  </si>
  <si>
    <t xml:space="preserve">молоко питьевое или вода питьевая </t>
  </si>
  <si>
    <t xml:space="preserve"> капуста свежая белокочанная</t>
  </si>
  <si>
    <t>Какао с молоком с витамином" С"</t>
  </si>
  <si>
    <t>Рассольник с мясом со сметаной с зеленью</t>
  </si>
  <si>
    <t xml:space="preserve">крупа перловая </t>
  </si>
  <si>
    <t>мясо говядина п/ф</t>
  </si>
  <si>
    <t>курица потрошеная 1 катег</t>
  </si>
  <si>
    <t>Нарезка из помидоров и огурцов свежих</t>
  </si>
  <si>
    <t>Рассольник "Домашний" с курицей  со сметаной с зеленью</t>
  </si>
  <si>
    <t xml:space="preserve">Салат Степной </t>
  </si>
  <si>
    <t xml:space="preserve">огурец  соленый </t>
  </si>
  <si>
    <t>Мучное изделие собственного производства</t>
  </si>
  <si>
    <t xml:space="preserve">Шницель рыбный натуральный с маслом сливочным </t>
  </si>
  <si>
    <t xml:space="preserve">лук репчатый </t>
  </si>
  <si>
    <t xml:space="preserve">капуста свежая белокочанная </t>
  </si>
  <si>
    <t xml:space="preserve">крупа рис </t>
  </si>
  <si>
    <t>огурец консервированный без уксуса</t>
  </si>
  <si>
    <t>Свекольник с курицей со сметаной с зеленью</t>
  </si>
  <si>
    <t>в гот виде</t>
  </si>
  <si>
    <t>морковь с01,01-25%</t>
  </si>
  <si>
    <t>морковь до 01,01 20%</t>
  </si>
  <si>
    <t>Рис припущенный с морковью</t>
  </si>
  <si>
    <t xml:space="preserve">Рыба"Лакомка" с маслом </t>
  </si>
  <si>
    <t>30/10/7/2</t>
  </si>
  <si>
    <t xml:space="preserve">Чай с сахаром </t>
  </si>
  <si>
    <t>курица потрошеная 1 категории(мякоть без кожи)</t>
  </si>
  <si>
    <t>масло подсолнечное</t>
  </si>
  <si>
    <t xml:space="preserve">вода питьевая </t>
  </si>
  <si>
    <t xml:space="preserve">Котлета  рубленная из птицы с маслом </t>
  </si>
  <si>
    <t>филе горбуши с/мор</t>
  </si>
  <si>
    <t>помидоры парниковые</t>
  </si>
  <si>
    <t>помидоры грунтовые</t>
  </si>
  <si>
    <t xml:space="preserve">Суп картофельный с  бобовыми с мясом с гренками </t>
  </si>
  <si>
    <t>фасоль к/с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</si>
</sst>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#,##0&quot;р.&quot;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(* #,##0.00_);_(* \(#,##0.00\);_(* &quot;-&quot;??_);_(@_)"/>
    <numFmt numFmtId="181" formatCode="#,##0.00&quot;р.&quot;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&quot;р.&quot;_-;\-* #,##0.0&quot;р.&quot;_-;_-* &quot;-&quot;??&quot;р.&quot;_-;_-@_-"/>
    <numFmt numFmtId="187" formatCode="_-* #,##0.000&quot;р.&quot;_-;\-* #,##0.000&quot;р.&quot;_-;_-* &quot;-&quot;??&quot;р.&quot;_-;_-@_-"/>
    <numFmt numFmtId="188" formatCode="_-* #,##0.0000&quot;р.&quot;_-;\-* #,##0.0000&quot;р.&quot;_-;_-* &quot;-&quot;??&quot;р.&quot;_-;_-@_-"/>
    <numFmt numFmtId="189" formatCode="_-* #,##0.00000&quot;р.&quot;_-;\-* #,##0.00000&quot;р.&quot;_-;_-* &quot;-&quot;??&quot;р.&quot;_-;_-@_-"/>
    <numFmt numFmtId="190" formatCode="_-* #,##0.000000&quot;р.&quot;_-;\-* #,##0.000000&quot;р.&quot;_-;_-* &quot;-&quot;??&quot;р.&quot;_-;_-@_-"/>
    <numFmt numFmtId="191" formatCode="_-* #,##0.0000000&quot;р.&quot;_-;\-* #,##0.0000000&quot;р.&quot;_-;_-* &quot;-&quot;??&quot;р.&quot;_-;_-@_-"/>
    <numFmt numFmtId="192" formatCode="_-* #,##0.00000000&quot;р.&quot;_-;\-* #,##0.00000000&quot;р.&quot;_-;_-* &quot;-&quot;??&quot;р.&quot;_-;_-@_-"/>
    <numFmt numFmtId="193" formatCode="_-* #,##0.000000000&quot;р.&quot;_-;\-* #,##0.000000000&quot;р.&quot;_-;_-* &quot;-&quot;??&quot;р.&quot;_-;_-@_-"/>
  </numFmts>
  <fonts count="54">
    <font>
      <sz val="10"/>
      <name val="Arial Cyr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Black"/>
      <family val="2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9"/>
      <name val="Arial Cyr"/>
      <family val="0"/>
    </font>
    <font>
      <sz val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2" fontId="3" fillId="0" borderId="0" xfId="6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" fontId="3" fillId="2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horizontal="right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1" fontId="4" fillId="25" borderId="0" xfId="0" applyNumberFormat="1" applyFont="1" applyFill="1" applyBorder="1" applyAlignment="1">
      <alignment horizontal="center"/>
    </xf>
    <xf numFmtId="0" fontId="22" fillId="25" borderId="0" xfId="0" applyFont="1" applyFill="1" applyAlignment="1">
      <alignment/>
    </xf>
    <xf numFmtId="1" fontId="4" fillId="25" borderId="0" xfId="0" applyNumberFormat="1" applyFont="1" applyFill="1" applyAlignment="1">
      <alignment horizontal="right"/>
    </xf>
    <xf numFmtId="1" fontId="3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" fontId="3" fillId="25" borderId="0" xfId="0" applyNumberFormat="1" applyFont="1" applyFill="1" applyBorder="1" applyAlignment="1">
      <alignment horizontal="center"/>
    </xf>
    <xf numFmtId="1" fontId="17" fillId="25" borderId="0" xfId="0" applyNumberFormat="1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6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6" fillId="0" borderId="10" xfId="0" applyNumberFormat="1" applyFont="1" applyFill="1" applyBorder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right" vertical="center"/>
    </xf>
    <xf numFmtId="164" fontId="17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right" vertical="center"/>
    </xf>
    <xf numFmtId="164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0" fontId="4" fillId="25" borderId="0" xfId="0" applyNumberFormat="1" applyFont="1" applyFill="1" applyAlignment="1">
      <alignment horizontal="right"/>
    </xf>
    <xf numFmtId="0" fontId="0" fillId="25" borderId="0" xfId="0" applyFont="1" applyFill="1" applyAlignment="1">
      <alignment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22" fillId="25" borderId="14" xfId="0" applyFont="1" applyFill="1" applyBorder="1" applyAlignment="1">
      <alignment vertical="center"/>
    </xf>
    <xf numFmtId="0" fontId="19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/>
    </xf>
    <xf numFmtId="2" fontId="21" fillId="25" borderId="15" xfId="0" applyNumberFormat="1" applyFont="1" applyFill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 vertical="center"/>
    </xf>
    <xf numFmtId="2" fontId="21" fillId="25" borderId="16" xfId="0" applyNumberFormat="1" applyFont="1" applyFill="1" applyBorder="1" applyAlignment="1">
      <alignment horizontal="center" vertical="center"/>
    </xf>
    <xf numFmtId="1" fontId="18" fillId="25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64" fontId="21" fillId="25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25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vertical="center"/>
    </xf>
    <xf numFmtId="164" fontId="0" fillId="25" borderId="10" xfId="0" applyNumberFormat="1" applyFont="1" applyFill="1" applyBorder="1" applyAlignment="1">
      <alignment vertical="center"/>
    </xf>
    <xf numFmtId="1" fontId="0" fillId="25" borderId="10" xfId="0" applyNumberFormat="1" applyFont="1" applyFill="1" applyBorder="1" applyAlignment="1">
      <alignment horizontal="center" vertical="center"/>
    </xf>
    <xf numFmtId="164" fontId="0" fillId="25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left" vertical="center"/>
    </xf>
    <xf numFmtId="0" fontId="0" fillId="25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24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" fontId="17" fillId="25" borderId="10" xfId="0" applyNumberFormat="1" applyFont="1" applyFill="1" applyBorder="1" applyAlignment="1">
      <alignment horizontal="center" vertical="center"/>
    </xf>
    <xf numFmtId="1" fontId="17" fillId="25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vertical="center"/>
    </xf>
    <xf numFmtId="1" fontId="4" fillId="25" borderId="0" xfId="0" applyNumberFormat="1" applyFont="1" applyFill="1" applyBorder="1" applyAlignment="1">
      <alignment horizontal="right"/>
    </xf>
    <xf numFmtId="0" fontId="27" fillId="25" borderId="0" xfId="0" applyFont="1" applyFill="1" applyAlignment="1">
      <alignment/>
    </xf>
    <xf numFmtId="1" fontId="27" fillId="25" borderId="17" xfId="0" applyNumberFormat="1" applyFont="1" applyFill="1" applyBorder="1" applyAlignment="1">
      <alignment horizontal="center" vertical="center"/>
    </xf>
    <xf numFmtId="164" fontId="2" fillId="25" borderId="18" xfId="0" applyNumberFormat="1" applyFont="1" applyFill="1" applyBorder="1" applyAlignment="1">
      <alignment horizontal="center" vertical="center"/>
    </xf>
    <xf numFmtId="164" fontId="2" fillId="25" borderId="19" xfId="0" applyNumberFormat="1" applyFont="1" applyFill="1" applyBorder="1" applyAlignment="1">
      <alignment horizontal="center" vertical="center"/>
    </xf>
    <xf numFmtId="164" fontId="2" fillId="25" borderId="20" xfId="0" applyNumberFormat="1" applyFont="1" applyFill="1" applyBorder="1" applyAlignment="1">
      <alignment horizontal="center" vertical="center"/>
    </xf>
    <xf numFmtId="164" fontId="2" fillId="25" borderId="21" xfId="0" applyNumberFormat="1" applyFont="1" applyFill="1" applyBorder="1" applyAlignment="1">
      <alignment horizontal="center" vertical="center"/>
    </xf>
    <xf numFmtId="164" fontId="2" fillId="25" borderId="22" xfId="0" applyNumberFormat="1" applyFont="1" applyFill="1" applyBorder="1" applyAlignment="1">
      <alignment horizontal="center" vertical="center"/>
    </xf>
    <xf numFmtId="164" fontId="2" fillId="25" borderId="23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0" fillId="25" borderId="1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horizontal="right" vertical="center" wrapText="1"/>
    </xf>
    <xf numFmtId="2" fontId="21" fillId="25" borderId="24" xfId="0" applyNumberFormat="1" applyFont="1" applyFill="1" applyBorder="1" applyAlignment="1">
      <alignment horizontal="center" vertical="center"/>
    </xf>
    <xf numFmtId="2" fontId="21" fillId="25" borderId="25" xfId="0" applyNumberFormat="1" applyFont="1" applyFill="1" applyBorder="1" applyAlignment="1">
      <alignment horizontal="center" vertical="center"/>
    </xf>
    <xf numFmtId="2" fontId="21" fillId="25" borderId="26" xfId="0" applyNumberFormat="1" applyFont="1" applyFill="1" applyBorder="1" applyAlignment="1">
      <alignment horizontal="center" vertical="center"/>
    </xf>
    <xf numFmtId="1" fontId="18" fillId="25" borderId="27" xfId="0" applyNumberFormat="1" applyFont="1" applyFill="1" applyBorder="1" applyAlignment="1">
      <alignment horizontal="center" vertical="center"/>
    </xf>
    <xf numFmtId="1" fontId="18" fillId="25" borderId="10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22" fillId="24" borderId="0" xfId="0" applyFont="1" applyFill="1" applyAlignment="1">
      <alignment/>
    </xf>
    <xf numFmtId="1" fontId="2" fillId="25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vertical="center"/>
    </xf>
    <xf numFmtId="1" fontId="4" fillId="25" borderId="0" xfId="0" applyNumberFormat="1" applyFont="1" applyFill="1" applyBorder="1" applyAlignment="1">
      <alignment/>
    </xf>
    <xf numFmtId="1" fontId="6" fillId="2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164" fontId="26" fillId="25" borderId="10" xfId="0" applyNumberFormat="1" applyFont="1" applyFill="1" applyBorder="1" applyAlignment="1">
      <alignment horizontal="center" vertical="center" wrapText="1"/>
    </xf>
    <xf numFmtId="164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right" vertical="center"/>
    </xf>
    <xf numFmtId="0" fontId="14" fillId="25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66" fontId="6" fillId="25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" fontId="27" fillId="25" borderId="28" xfId="0" applyNumberFormat="1" applyFont="1" applyFill="1" applyBorder="1" applyAlignment="1">
      <alignment horizontal="center" vertical="center"/>
    </xf>
    <xf numFmtId="1" fontId="27" fillId="25" borderId="29" xfId="0" applyNumberFormat="1" applyFont="1" applyFill="1" applyBorder="1" applyAlignment="1">
      <alignment horizontal="center" vertical="center"/>
    </xf>
    <xf numFmtId="164" fontId="2" fillId="25" borderId="30" xfId="0" applyNumberFormat="1" applyFont="1" applyFill="1" applyBorder="1" applyAlignment="1">
      <alignment horizontal="center" vertical="center"/>
    </xf>
    <xf numFmtId="164" fontId="2" fillId="25" borderId="31" xfId="0" applyNumberFormat="1" applyFont="1" applyFill="1" applyBorder="1" applyAlignment="1">
      <alignment horizontal="center" vertical="center"/>
    </xf>
    <xf numFmtId="164" fontId="2" fillId="25" borderId="32" xfId="0" applyNumberFormat="1" applyFont="1" applyFill="1" applyBorder="1" applyAlignment="1">
      <alignment horizontal="center" vertical="center"/>
    </xf>
    <xf numFmtId="1" fontId="17" fillId="25" borderId="22" xfId="0" applyNumberFormat="1" applyFont="1" applyFill="1" applyBorder="1" applyAlignment="1">
      <alignment horizontal="center" vertical="center"/>
    </xf>
    <xf numFmtId="1" fontId="17" fillId="25" borderId="21" xfId="0" applyNumberFormat="1" applyFont="1" applyFill="1" applyBorder="1" applyAlignment="1">
      <alignment horizontal="center" vertical="center" wrapText="1"/>
    </xf>
    <xf numFmtId="1" fontId="17" fillId="25" borderId="22" xfId="0" applyNumberFormat="1" applyFont="1" applyFill="1" applyBorder="1" applyAlignment="1">
      <alignment horizontal="center" vertical="center" wrapText="1"/>
    </xf>
    <xf numFmtId="1" fontId="17" fillId="25" borderId="23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/>
    </xf>
    <xf numFmtId="0" fontId="21" fillId="25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1" fontId="21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21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right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1" fontId="4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27" fillId="25" borderId="10" xfId="0" applyNumberFormat="1" applyFont="1" applyFill="1" applyBorder="1" applyAlignment="1">
      <alignment horizontal="center" vertical="center"/>
    </xf>
    <xf numFmtId="0" fontId="27" fillId="25" borderId="33" xfId="0" applyFont="1" applyFill="1" applyBorder="1" applyAlignment="1">
      <alignment horizontal="center" vertical="center"/>
    </xf>
    <xf numFmtId="0" fontId="6" fillId="25" borderId="34" xfId="0" applyFont="1" applyFill="1" applyBorder="1" applyAlignment="1">
      <alignment vertical="center" wrapText="1"/>
    </xf>
    <xf numFmtId="1" fontId="2" fillId="25" borderId="35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17" fillId="25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2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2" fontId="4" fillId="25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17" fillId="25" borderId="10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 vertical="center"/>
    </xf>
    <xf numFmtId="0" fontId="6" fillId="25" borderId="0" xfId="0" applyFont="1" applyFill="1" applyAlignment="1">
      <alignment horizontal="center" vertical="center"/>
    </xf>
    <xf numFmtId="1" fontId="6" fillId="25" borderId="0" xfId="0" applyNumberFormat="1" applyFont="1" applyFill="1" applyAlignment="1">
      <alignment horizontal="center" vertical="center"/>
    </xf>
    <xf numFmtId="1" fontId="6" fillId="25" borderId="11" xfId="0" applyNumberFormat="1" applyFont="1" applyFill="1" applyBorder="1" applyAlignment="1">
      <alignment horizontal="center" vertical="center"/>
    </xf>
    <xf numFmtId="2" fontId="3" fillId="25" borderId="0" xfId="0" applyNumberFormat="1" applyFont="1" applyFill="1" applyBorder="1" applyAlignment="1">
      <alignment horizontal="center" vertical="center"/>
    </xf>
    <xf numFmtId="164" fontId="6" fillId="25" borderId="0" xfId="0" applyNumberFormat="1" applyFont="1" applyFill="1" applyAlignment="1">
      <alignment horizontal="center" vertical="center"/>
    </xf>
    <xf numFmtId="1" fontId="18" fillId="25" borderId="16" xfId="0" applyNumberFormat="1" applyFont="1" applyFill="1" applyBorder="1" applyAlignment="1">
      <alignment horizontal="center" vertical="center"/>
    </xf>
    <xf numFmtId="0" fontId="21" fillId="25" borderId="33" xfId="0" applyFont="1" applyFill="1" applyBorder="1" applyAlignment="1">
      <alignment horizontal="center" vertical="center"/>
    </xf>
    <xf numFmtId="0" fontId="21" fillId="25" borderId="35" xfId="0" applyFont="1" applyFill="1" applyBorder="1" applyAlignment="1">
      <alignment vertical="center"/>
    </xf>
    <xf numFmtId="1" fontId="21" fillId="25" borderId="35" xfId="0" applyNumberFormat="1" applyFont="1" applyFill="1" applyBorder="1" applyAlignment="1">
      <alignment horizontal="center" vertical="center"/>
    </xf>
    <xf numFmtId="1" fontId="18" fillId="25" borderId="35" xfId="0" applyNumberFormat="1" applyFont="1" applyFill="1" applyBorder="1" applyAlignment="1">
      <alignment horizontal="center" vertical="center"/>
    </xf>
    <xf numFmtId="1" fontId="18" fillId="25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0" fillId="25" borderId="10" xfId="0" applyFill="1" applyBorder="1" applyAlignment="1">
      <alignment horizontal="right" vertical="center"/>
    </xf>
    <xf numFmtId="0" fontId="4" fillId="25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64" fontId="2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" fontId="12" fillId="25" borderId="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vertical="center"/>
    </xf>
    <xf numFmtId="1" fontId="6" fillId="25" borderId="10" xfId="0" applyNumberFormat="1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2" fontId="12" fillId="25" borderId="10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/>
    </xf>
    <xf numFmtId="0" fontId="0" fillId="25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left" vertical="center"/>
    </xf>
    <xf numFmtId="2" fontId="3" fillId="25" borderId="0" xfId="0" applyNumberFormat="1" applyFont="1" applyFill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164" fontId="18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center"/>
    </xf>
    <xf numFmtId="0" fontId="17" fillId="2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" fontId="3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6" fillId="2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1" fontId="0" fillId="25" borderId="10" xfId="0" applyNumberFormat="1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/>
    </xf>
    <xf numFmtId="1" fontId="14" fillId="0" borderId="0" xfId="0" applyNumberFormat="1" applyFont="1" applyAlignment="1">
      <alignment/>
    </xf>
    <xf numFmtId="0" fontId="0" fillId="24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/>
    </xf>
    <xf numFmtId="164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right"/>
    </xf>
    <xf numFmtId="0" fontId="18" fillId="25" borderId="35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right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1" fontId="6" fillId="25" borderId="10" xfId="0" applyNumberFormat="1" applyFont="1" applyFill="1" applyBorder="1" applyAlignment="1">
      <alignment horizontal="center" vertical="center" wrapText="1"/>
    </xf>
    <xf numFmtId="164" fontId="31" fillId="25" borderId="10" xfId="0" applyNumberFormat="1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 wrapText="1"/>
    </xf>
    <xf numFmtId="1" fontId="17" fillId="26" borderId="10" xfId="0" applyNumberFormat="1" applyFont="1" applyFill="1" applyBorder="1" applyAlignment="1">
      <alignment horizontal="center" vertical="center" wrapText="1"/>
    </xf>
    <xf numFmtId="1" fontId="17" fillId="26" borderId="10" xfId="0" applyNumberFormat="1" applyFont="1" applyFill="1" applyBorder="1" applyAlignment="1">
      <alignment horizontal="center" vertical="center"/>
    </xf>
    <xf numFmtId="164" fontId="17" fillId="26" borderId="10" xfId="0" applyNumberFormat="1" applyFont="1" applyFill="1" applyBorder="1" applyAlignment="1">
      <alignment horizontal="center" vertical="center"/>
    </xf>
    <xf numFmtId="1" fontId="27" fillId="25" borderId="16" xfId="0" applyNumberFormat="1" applyFont="1" applyFill="1" applyBorder="1" applyAlignment="1">
      <alignment horizontal="center" vertical="center"/>
    </xf>
    <xf numFmtId="2" fontId="21" fillId="25" borderId="38" xfId="0" applyNumberFormat="1" applyFont="1" applyFill="1" applyBorder="1" applyAlignment="1">
      <alignment horizontal="center" vertical="center"/>
    </xf>
    <xf numFmtId="2" fontId="21" fillId="25" borderId="39" xfId="0" applyNumberFormat="1" applyFont="1" applyFill="1" applyBorder="1" applyAlignment="1">
      <alignment horizontal="center" vertical="center"/>
    </xf>
    <xf numFmtId="2" fontId="21" fillId="25" borderId="40" xfId="0" applyNumberFormat="1" applyFont="1" applyFill="1" applyBorder="1" applyAlignment="1">
      <alignment horizontal="center" vertical="center"/>
    </xf>
    <xf numFmtId="1" fontId="18" fillId="25" borderId="41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1" fontId="0" fillId="0" borderId="0" xfId="0" applyNumberFormat="1" applyAlignment="1">
      <alignment vertical="center"/>
    </xf>
    <xf numFmtId="164" fontId="2" fillId="25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9" fillId="25" borderId="10" xfId="0" applyFont="1" applyFill="1" applyBorder="1" applyAlignment="1">
      <alignment horizontal="right" vertical="center"/>
    </xf>
    <xf numFmtId="0" fontId="53" fillId="25" borderId="10" xfId="0" applyFont="1" applyFill="1" applyBorder="1" applyAlignment="1">
      <alignment horizontal="right" vertical="center"/>
    </xf>
    <xf numFmtId="0" fontId="53" fillId="2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1" fontId="18" fillId="25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2" fontId="26" fillId="0" borderId="43" xfId="0" applyNumberFormat="1" applyFont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 vertical="center" wrapText="1"/>
    </xf>
    <xf numFmtId="2" fontId="26" fillId="25" borderId="44" xfId="0" applyNumberFormat="1" applyFont="1" applyFill="1" applyBorder="1" applyAlignment="1">
      <alignment horizontal="center" vertical="center" wrapText="1"/>
    </xf>
    <xf numFmtId="2" fontId="26" fillId="25" borderId="43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7" fillId="25" borderId="37" xfId="0" applyFont="1" applyFill="1" applyBorder="1" applyAlignment="1">
      <alignment horizontal="center" vertical="center"/>
    </xf>
    <xf numFmtId="0" fontId="17" fillId="25" borderId="42" xfId="0" applyFont="1" applyFill="1" applyBorder="1" applyAlignment="1">
      <alignment horizontal="center" vertical="center"/>
    </xf>
    <xf numFmtId="0" fontId="17" fillId="25" borderId="15" xfId="0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left" vertical="center"/>
    </xf>
    <xf numFmtId="0" fontId="3" fillId="25" borderId="42" xfId="0" applyFont="1" applyFill="1" applyBorder="1" applyAlignment="1">
      <alignment horizontal="left" vertical="center"/>
    </xf>
    <xf numFmtId="0" fontId="3" fillId="25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2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6" fillId="25" borderId="0" xfId="0" applyFont="1" applyFill="1" applyBorder="1" applyAlignment="1">
      <alignment horizontal="left" vertical="center" wrapText="1"/>
    </xf>
    <xf numFmtId="0" fontId="18" fillId="0" borderId="4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4" fillId="25" borderId="37" xfId="0" applyFont="1" applyFill="1" applyBorder="1" applyAlignment="1">
      <alignment horizontal="center" vertical="center"/>
    </xf>
    <xf numFmtId="0" fontId="4" fillId="25" borderId="42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9" fillId="25" borderId="37" xfId="0" applyFont="1" applyFill="1" applyBorder="1" applyAlignment="1">
      <alignment horizontal="center" vertical="center" wrapText="1"/>
    </xf>
    <xf numFmtId="0" fontId="9" fillId="25" borderId="42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9" fontId="18" fillId="0" borderId="16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53"/>
  <sheetViews>
    <sheetView tabSelected="1" view="pageBreakPreview" zoomScale="90" zoomScaleNormal="90" zoomScaleSheetLayoutView="90" zoomScalePageLayoutView="90" workbookViewId="0" topLeftCell="A358">
      <selection activeCell="A331" sqref="A331:J368"/>
    </sheetView>
  </sheetViews>
  <sheetFormatPr defaultColWidth="9.00390625" defaultRowHeight="24.75" customHeight="1" outlineLevelCol="1"/>
  <cols>
    <col min="1" max="1" width="28.875" style="21" customWidth="1"/>
    <col min="2" max="3" width="8.125" style="17" customWidth="1"/>
    <col min="4" max="4" width="9.125" style="17" customWidth="1"/>
    <col min="5" max="7" width="8.625" style="261" customWidth="1"/>
    <col min="8" max="8" width="7.25390625" style="18" customWidth="1"/>
    <col min="9" max="9" width="8.00390625" style="322" customWidth="1"/>
    <col min="10" max="10" width="12.00390625" style="329" customWidth="1"/>
    <col min="11" max="11" width="5.25390625" style="82" customWidth="1"/>
    <col min="12" max="12" width="11.125" style="39" customWidth="1" outlineLevel="1"/>
    <col min="13" max="13" width="9.375" style="106" customWidth="1" outlineLevel="1"/>
    <col min="14" max="35" width="9.125" style="34" customWidth="1"/>
    <col min="36" max="16384" width="9.125" style="25" customWidth="1"/>
  </cols>
  <sheetData>
    <row r="1" spans="1:11" ht="47.25" customHeight="1">
      <c r="A1" s="483" t="s">
        <v>529</v>
      </c>
      <c r="B1" s="483"/>
      <c r="C1" s="483"/>
      <c r="D1" s="483"/>
      <c r="E1" s="483"/>
      <c r="F1" s="483"/>
      <c r="G1" s="483"/>
      <c r="H1" s="483"/>
      <c r="I1" s="483"/>
      <c r="J1" s="483"/>
      <c r="K1" s="69"/>
    </row>
    <row r="2" spans="1:11" ht="24.75" customHeight="1">
      <c r="A2" s="486" t="s">
        <v>530</v>
      </c>
      <c r="B2" s="486"/>
      <c r="C2" s="486"/>
      <c r="D2" s="486"/>
      <c r="E2" s="486"/>
      <c r="F2" s="486"/>
      <c r="G2" s="486"/>
      <c r="H2" s="486"/>
      <c r="I2" s="486"/>
      <c r="J2" s="486"/>
      <c r="K2" s="69"/>
    </row>
    <row r="3" spans="1:13" ht="24.75" customHeight="1">
      <c r="A3" s="484" t="s">
        <v>0</v>
      </c>
      <c r="B3" s="485"/>
      <c r="C3" s="485"/>
      <c r="D3" s="485"/>
      <c r="E3" s="485"/>
      <c r="F3" s="485"/>
      <c r="G3" s="485"/>
      <c r="H3" s="485"/>
      <c r="I3" s="485"/>
      <c r="J3" s="485"/>
      <c r="K3" s="1"/>
      <c r="M3" s="102"/>
    </row>
    <row r="4" spans="1:13" ht="24.75" customHeight="1" thickBot="1">
      <c r="A4" s="480" t="s">
        <v>1</v>
      </c>
      <c r="B4" s="480"/>
      <c r="C4" s="480"/>
      <c r="D4" s="480"/>
      <c r="E4" s="480"/>
      <c r="F4" s="480"/>
      <c r="G4" s="480"/>
      <c r="H4" s="480"/>
      <c r="I4" s="480"/>
      <c r="J4" s="480"/>
      <c r="K4" s="1"/>
      <c r="L4" s="181" t="s">
        <v>1</v>
      </c>
      <c r="M4" s="102"/>
    </row>
    <row r="5" spans="1:13" ht="24.75" customHeight="1">
      <c r="A5" s="455" t="s">
        <v>2</v>
      </c>
      <c r="B5" s="449" t="s">
        <v>3</v>
      </c>
      <c r="C5" s="449" t="s">
        <v>4</v>
      </c>
      <c r="D5" s="455" t="s">
        <v>5</v>
      </c>
      <c r="E5" s="455"/>
      <c r="F5" s="455"/>
      <c r="G5" s="455"/>
      <c r="H5" s="455"/>
      <c r="I5" s="455"/>
      <c r="J5" s="446" t="s">
        <v>311</v>
      </c>
      <c r="K5" s="1"/>
      <c r="L5" s="59" t="s">
        <v>72</v>
      </c>
      <c r="M5" s="101">
        <f>D75+D123</f>
        <v>70</v>
      </c>
    </row>
    <row r="6" spans="1:35" s="3" customFormat="1" ht="24.75" customHeight="1">
      <c r="A6" s="455"/>
      <c r="B6" s="449"/>
      <c r="C6" s="449"/>
      <c r="D6" s="449" t="s">
        <v>6</v>
      </c>
      <c r="E6" s="467" t="s">
        <v>7</v>
      </c>
      <c r="F6" s="467" t="s">
        <v>8</v>
      </c>
      <c r="G6" s="467" t="s">
        <v>9</v>
      </c>
      <c r="H6" s="453" t="s">
        <v>10</v>
      </c>
      <c r="I6" s="444" t="s">
        <v>312</v>
      </c>
      <c r="J6" s="447"/>
      <c r="K6" s="15"/>
      <c r="L6" s="35" t="s">
        <v>82</v>
      </c>
      <c r="M6" s="101">
        <f>B22+B57+D74+B92+D124</f>
        <v>106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13" ht="24.75" customHeight="1">
      <c r="A7" s="455"/>
      <c r="B7" s="449"/>
      <c r="C7" s="449"/>
      <c r="D7" s="449"/>
      <c r="E7" s="467"/>
      <c r="F7" s="467"/>
      <c r="G7" s="467"/>
      <c r="H7" s="453"/>
      <c r="I7" s="445"/>
      <c r="J7" s="448"/>
      <c r="K7" s="83"/>
      <c r="L7" s="35" t="s">
        <v>83</v>
      </c>
      <c r="M7" s="102">
        <f>B63+B96+B60+B85</f>
        <v>19.2</v>
      </c>
    </row>
    <row r="8" spans="1:13" ht="24.75" customHeight="1">
      <c r="A8" s="466" t="s">
        <v>11</v>
      </c>
      <c r="B8" s="466"/>
      <c r="C8" s="466"/>
      <c r="D8" s="466"/>
      <c r="E8" s="128">
        <f>SUM(E9:E30)</f>
        <v>19.099999999999998</v>
      </c>
      <c r="F8" s="128">
        <f>SUM(F9:F30)</f>
        <v>24.299999999999997</v>
      </c>
      <c r="G8" s="128">
        <f>SUM(G9:G30)</f>
        <v>79.7</v>
      </c>
      <c r="H8" s="116">
        <f>SUM(H9:H30)</f>
        <v>613.9000000000001</v>
      </c>
      <c r="I8" s="128">
        <f>SUM(I9:I30)</f>
        <v>14.116818181818182</v>
      </c>
      <c r="J8" s="159"/>
      <c r="K8" s="83"/>
      <c r="L8" s="36" t="s">
        <v>126</v>
      </c>
      <c r="M8" s="102">
        <f>C10+B68+B79</f>
        <v>71</v>
      </c>
    </row>
    <row r="9" spans="1:13" ht="24.75" customHeight="1">
      <c r="A9" s="468" t="s">
        <v>297</v>
      </c>
      <c r="B9" s="468"/>
      <c r="C9" s="468"/>
      <c r="D9" s="41" t="s">
        <v>242</v>
      </c>
      <c r="E9" s="145">
        <v>5.4</v>
      </c>
      <c r="F9" s="145">
        <v>5.3</v>
      </c>
      <c r="G9" s="145">
        <v>34</v>
      </c>
      <c r="H9" s="152">
        <f>E9*4+F9*9+G9*4</f>
        <v>205.3</v>
      </c>
      <c r="I9" s="306">
        <v>0.61</v>
      </c>
      <c r="J9" s="306" t="s">
        <v>350</v>
      </c>
      <c r="K9" s="83"/>
      <c r="L9" s="39" t="s">
        <v>330</v>
      </c>
      <c r="M9" s="102"/>
    </row>
    <row r="10" spans="1:13" ht="24.75" customHeight="1">
      <c r="A10" s="115" t="s">
        <v>296</v>
      </c>
      <c r="B10" s="16">
        <v>27</v>
      </c>
      <c r="C10" s="16">
        <v>27</v>
      </c>
      <c r="D10" s="16"/>
      <c r="E10" s="153"/>
      <c r="F10" s="161"/>
      <c r="G10" s="161"/>
      <c r="H10" s="142"/>
      <c r="I10" s="306"/>
      <c r="J10" s="306"/>
      <c r="K10" s="83"/>
      <c r="L10" s="35" t="s">
        <v>138</v>
      </c>
      <c r="M10" s="102">
        <f>B42+B112</f>
        <v>168.06</v>
      </c>
    </row>
    <row r="11" spans="1:13" ht="24.75" customHeight="1">
      <c r="A11" s="139" t="s">
        <v>149</v>
      </c>
      <c r="B11" s="153">
        <v>128</v>
      </c>
      <c r="C11" s="153">
        <v>128</v>
      </c>
      <c r="D11" s="153"/>
      <c r="E11" s="153"/>
      <c r="F11" s="153"/>
      <c r="G11" s="153"/>
      <c r="H11" s="142"/>
      <c r="I11" s="306"/>
      <c r="J11" s="306"/>
      <c r="K11" s="356"/>
      <c r="L11" s="35" t="s">
        <v>84</v>
      </c>
      <c r="M11" s="102">
        <f>B33+B35+B38+B47+B48+B50+B59+B118+B69</f>
        <v>298.51</v>
      </c>
    </row>
    <row r="12" spans="1:13" ht="24.75" customHeight="1">
      <c r="A12" s="139" t="s">
        <v>110</v>
      </c>
      <c r="B12" s="153">
        <v>78</v>
      </c>
      <c r="C12" s="153">
        <v>78</v>
      </c>
      <c r="D12" s="153"/>
      <c r="E12" s="153"/>
      <c r="F12" s="153"/>
      <c r="G12" s="153"/>
      <c r="H12" s="142"/>
      <c r="I12" s="306"/>
      <c r="J12" s="306"/>
      <c r="K12" s="356"/>
      <c r="L12" s="35" t="s">
        <v>85</v>
      </c>
      <c r="M12" s="102">
        <f>D30</f>
        <v>180</v>
      </c>
    </row>
    <row r="13" spans="1:13" ht="24.75" customHeight="1">
      <c r="A13" s="139" t="s">
        <v>12</v>
      </c>
      <c r="B13" s="153">
        <v>4</v>
      </c>
      <c r="C13" s="153">
        <v>4</v>
      </c>
      <c r="D13" s="153"/>
      <c r="E13" s="153"/>
      <c r="F13" s="161"/>
      <c r="G13" s="161"/>
      <c r="H13" s="142"/>
      <c r="I13" s="306"/>
      <c r="J13" s="306"/>
      <c r="K13" s="83"/>
      <c r="L13" s="35" t="s">
        <v>127</v>
      </c>
      <c r="M13" s="102">
        <f>D87</f>
        <v>200</v>
      </c>
    </row>
    <row r="14" spans="1:13" ht="24.75" customHeight="1">
      <c r="A14" s="190" t="s">
        <v>150</v>
      </c>
      <c r="B14" s="50">
        <v>1.32</v>
      </c>
      <c r="C14" s="50">
        <v>1.32</v>
      </c>
      <c r="D14" s="16"/>
      <c r="E14" s="16"/>
      <c r="F14" s="50"/>
      <c r="G14" s="50"/>
      <c r="H14" s="42"/>
      <c r="I14" s="307"/>
      <c r="J14" s="306"/>
      <c r="K14" s="83"/>
      <c r="L14" s="35" t="s">
        <v>86</v>
      </c>
      <c r="M14" s="102">
        <f>B72</f>
        <v>25</v>
      </c>
    </row>
    <row r="15" spans="1:13" ht="24.75" customHeight="1">
      <c r="A15" s="115" t="s">
        <v>27</v>
      </c>
      <c r="B15" s="16">
        <v>5</v>
      </c>
      <c r="C15" s="16">
        <v>5</v>
      </c>
      <c r="D15" s="16"/>
      <c r="E15" s="50"/>
      <c r="F15" s="50"/>
      <c r="G15" s="50"/>
      <c r="H15" s="42"/>
      <c r="I15" s="307"/>
      <c r="J15" s="306"/>
      <c r="K15" s="1"/>
      <c r="L15" s="35" t="s">
        <v>87</v>
      </c>
      <c r="M15" s="102">
        <f>C13+B73+B27+B81+B86</f>
        <v>40</v>
      </c>
    </row>
    <row r="16" spans="1:13" ht="24.75" customHeight="1">
      <c r="A16" s="468" t="s">
        <v>111</v>
      </c>
      <c r="B16" s="468"/>
      <c r="C16" s="468"/>
      <c r="D16" s="41" t="s">
        <v>243</v>
      </c>
      <c r="E16" s="145">
        <v>7.4</v>
      </c>
      <c r="F16" s="145">
        <v>10.1</v>
      </c>
      <c r="G16" s="145">
        <v>1.6</v>
      </c>
      <c r="H16" s="152">
        <f>E16*4+F16*9+G16*4</f>
        <v>126.9</v>
      </c>
      <c r="I16" s="306">
        <v>0.10500000000000001</v>
      </c>
      <c r="J16" s="306" t="s">
        <v>351</v>
      </c>
      <c r="K16" s="83"/>
      <c r="L16" s="240" t="s">
        <v>207</v>
      </c>
      <c r="M16" s="106">
        <f>B122</f>
        <v>10</v>
      </c>
    </row>
    <row r="17" spans="1:13" ht="24.75" customHeight="1">
      <c r="A17" s="115" t="s">
        <v>29</v>
      </c>
      <c r="B17" s="42">
        <v>53.333333333333336</v>
      </c>
      <c r="C17" s="42">
        <v>53.333333333333336</v>
      </c>
      <c r="D17" s="42"/>
      <c r="E17" s="142"/>
      <c r="F17" s="161"/>
      <c r="G17" s="161"/>
      <c r="H17" s="142"/>
      <c r="I17" s="306"/>
      <c r="J17" s="306"/>
      <c r="K17" s="83"/>
      <c r="L17" s="35" t="s">
        <v>128</v>
      </c>
      <c r="M17" s="102">
        <f>B26</f>
        <v>1</v>
      </c>
    </row>
    <row r="18" spans="1:13" ht="24.75" customHeight="1">
      <c r="A18" s="115" t="s">
        <v>149</v>
      </c>
      <c r="B18" s="42">
        <v>20</v>
      </c>
      <c r="C18" s="42">
        <v>20</v>
      </c>
      <c r="D18" s="42"/>
      <c r="E18" s="142"/>
      <c r="F18" s="142"/>
      <c r="G18" s="142"/>
      <c r="H18" s="142"/>
      <c r="I18" s="306"/>
      <c r="J18" s="306"/>
      <c r="K18" s="83"/>
      <c r="L18" s="35" t="s">
        <v>88</v>
      </c>
      <c r="M18" s="102">
        <f>B121</f>
        <v>0.4</v>
      </c>
    </row>
    <row r="19" spans="1:13" ht="24.75" customHeight="1">
      <c r="A19" s="115" t="s">
        <v>27</v>
      </c>
      <c r="B19" s="16">
        <v>1.5</v>
      </c>
      <c r="C19" s="16">
        <v>1.5</v>
      </c>
      <c r="D19" s="42"/>
      <c r="E19" s="142"/>
      <c r="F19" s="161"/>
      <c r="G19" s="161"/>
      <c r="H19" s="142"/>
      <c r="I19" s="306"/>
      <c r="J19" s="306"/>
      <c r="K19" s="83"/>
      <c r="L19" s="35" t="s">
        <v>129</v>
      </c>
      <c r="M19" s="102">
        <f>B54</f>
        <v>78.88000000000001</v>
      </c>
    </row>
    <row r="20" spans="1:13" ht="24.75" customHeight="1">
      <c r="A20" s="115" t="s">
        <v>27</v>
      </c>
      <c r="B20" s="16">
        <v>5</v>
      </c>
      <c r="C20" s="16">
        <v>5</v>
      </c>
      <c r="D20" s="16"/>
      <c r="E20" s="161"/>
      <c r="F20" s="161"/>
      <c r="G20" s="161"/>
      <c r="H20" s="142"/>
      <c r="I20" s="306"/>
      <c r="J20" s="306"/>
      <c r="K20" s="83"/>
      <c r="L20" s="240" t="s">
        <v>208</v>
      </c>
      <c r="M20" s="102">
        <f>B91+B49</f>
        <v>94.3</v>
      </c>
    </row>
    <row r="21" spans="1:13" ht="24.75" customHeight="1">
      <c r="A21" s="468" t="s">
        <v>180</v>
      </c>
      <c r="B21" s="468"/>
      <c r="C21" s="468"/>
      <c r="D21" s="80" t="s">
        <v>210</v>
      </c>
      <c r="E21" s="145">
        <v>3.7</v>
      </c>
      <c r="F21" s="145">
        <v>6.5</v>
      </c>
      <c r="G21" s="145">
        <v>10.5</v>
      </c>
      <c r="H21" s="152">
        <f>E21*4+F21*9+G21*4</f>
        <v>115.3</v>
      </c>
      <c r="I21" s="306">
        <v>0.10181818181818182</v>
      </c>
      <c r="J21" s="306" t="s">
        <v>352</v>
      </c>
      <c r="K21" s="83"/>
      <c r="L21" s="35" t="s">
        <v>89</v>
      </c>
      <c r="M21" s="102">
        <f>B41</f>
        <v>18.88</v>
      </c>
    </row>
    <row r="22" spans="1:13" ht="24.75" customHeight="1">
      <c r="A22" s="172" t="s">
        <v>356</v>
      </c>
      <c r="B22" s="16">
        <v>20</v>
      </c>
      <c r="C22" s="16">
        <v>20</v>
      </c>
      <c r="D22" s="16"/>
      <c r="E22" s="145"/>
      <c r="F22" s="145"/>
      <c r="G22" s="145"/>
      <c r="H22" s="152"/>
      <c r="I22" s="306"/>
      <c r="J22" s="306"/>
      <c r="K22" s="83"/>
      <c r="L22" s="35" t="s">
        <v>130</v>
      </c>
      <c r="M22" s="102"/>
    </row>
    <row r="23" spans="1:13" ht="24.75" customHeight="1">
      <c r="A23" s="115" t="s">
        <v>183</v>
      </c>
      <c r="B23" s="16">
        <v>16</v>
      </c>
      <c r="C23" s="16">
        <v>15</v>
      </c>
      <c r="D23" s="16"/>
      <c r="E23" s="50"/>
      <c r="F23" s="50"/>
      <c r="G23" s="50"/>
      <c r="H23" s="42"/>
      <c r="I23" s="307"/>
      <c r="J23" s="306"/>
      <c r="K23" s="83"/>
      <c r="L23" s="36" t="s">
        <v>131</v>
      </c>
      <c r="M23" s="102">
        <f>B18+B11+B93+B94+B58+C28</f>
        <v>286</v>
      </c>
    </row>
    <row r="24" spans="1:13" ht="24.75" customHeight="1">
      <c r="A24" s="115" t="s">
        <v>27</v>
      </c>
      <c r="B24" s="16">
        <v>5</v>
      </c>
      <c r="C24" s="16">
        <v>5</v>
      </c>
      <c r="D24" s="16"/>
      <c r="E24" s="50"/>
      <c r="F24" s="50"/>
      <c r="G24" s="50"/>
      <c r="H24" s="42"/>
      <c r="I24" s="307"/>
      <c r="J24" s="306"/>
      <c r="K24" s="83"/>
      <c r="L24" s="39" t="s">
        <v>331</v>
      </c>
      <c r="M24" s="106">
        <f>B126</f>
        <v>154</v>
      </c>
    </row>
    <row r="25" spans="1:13" ht="24.75" customHeight="1">
      <c r="A25" s="454" t="s">
        <v>393</v>
      </c>
      <c r="B25" s="454"/>
      <c r="C25" s="454"/>
      <c r="D25" s="143">
        <v>200</v>
      </c>
      <c r="E25" s="144">
        <v>2.2</v>
      </c>
      <c r="F25" s="144">
        <v>2.4</v>
      </c>
      <c r="G25" s="144">
        <v>15.6</v>
      </c>
      <c r="H25" s="152">
        <f>E25*4+F25*9+G25*4</f>
        <v>92.8</v>
      </c>
      <c r="I25" s="306">
        <v>1.3</v>
      </c>
      <c r="J25" s="306" t="s">
        <v>397</v>
      </c>
      <c r="L25" s="35" t="s">
        <v>90</v>
      </c>
      <c r="M25" s="102">
        <f>B78</f>
        <v>69</v>
      </c>
    </row>
    <row r="26" spans="1:13" ht="24.75" customHeight="1">
      <c r="A26" s="184" t="s">
        <v>396</v>
      </c>
      <c r="B26" s="183">
        <v>1</v>
      </c>
      <c r="C26" s="183">
        <v>1</v>
      </c>
      <c r="D26" s="143"/>
      <c r="E26" s="144"/>
      <c r="F26" s="144"/>
      <c r="G26" s="144"/>
      <c r="H26" s="152"/>
      <c r="I26" s="306"/>
      <c r="J26" s="306"/>
      <c r="L26" s="35" t="s">
        <v>91</v>
      </c>
      <c r="M26" s="102">
        <f>B66</f>
        <v>10</v>
      </c>
    </row>
    <row r="27" spans="1:13" ht="24.75" customHeight="1">
      <c r="A27" s="123" t="s">
        <v>12</v>
      </c>
      <c r="B27" s="112">
        <v>15</v>
      </c>
      <c r="C27" s="112">
        <v>15</v>
      </c>
      <c r="D27" s="112"/>
      <c r="E27" s="112"/>
      <c r="F27" s="112"/>
      <c r="G27" s="140"/>
      <c r="H27" s="94"/>
      <c r="I27" s="112"/>
      <c r="J27" s="112"/>
      <c r="L27" s="35" t="s">
        <v>134</v>
      </c>
      <c r="M27" s="102">
        <f>B117+B23</f>
        <v>29</v>
      </c>
    </row>
    <row r="28" spans="1:13" ht="24.75" customHeight="1">
      <c r="A28" s="123" t="s">
        <v>149</v>
      </c>
      <c r="B28" s="112">
        <v>100</v>
      </c>
      <c r="C28" s="112">
        <v>100</v>
      </c>
      <c r="D28" s="112"/>
      <c r="E28" s="112"/>
      <c r="F28" s="112"/>
      <c r="G28" s="140"/>
      <c r="H28" s="94"/>
      <c r="I28" s="112"/>
      <c r="J28" s="112"/>
      <c r="L28" s="35" t="s">
        <v>92</v>
      </c>
      <c r="M28" s="102">
        <f>B15+B24+B49+B116+B19+B20++B98+B64+B70+B82+B84</f>
        <v>53.3</v>
      </c>
    </row>
    <row r="29" spans="1:13" ht="24.75" customHeight="1">
      <c r="A29" s="477" t="s">
        <v>151</v>
      </c>
      <c r="B29" s="477"/>
      <c r="C29" s="477"/>
      <c r="D29" s="477"/>
      <c r="E29" s="477"/>
      <c r="F29" s="477"/>
      <c r="G29" s="477"/>
      <c r="H29" s="477"/>
      <c r="I29" s="477"/>
      <c r="J29" s="477"/>
      <c r="L29" s="35" t="s">
        <v>65</v>
      </c>
      <c r="M29" s="102">
        <f>B39+B61+B97</f>
        <v>18</v>
      </c>
    </row>
    <row r="30" spans="1:13" ht="24.75" customHeight="1" thickBot="1">
      <c r="A30" s="472" t="s">
        <v>345</v>
      </c>
      <c r="B30" s="472"/>
      <c r="C30" s="472"/>
      <c r="D30" s="143">
        <v>180</v>
      </c>
      <c r="E30" s="145">
        <v>0.4</v>
      </c>
      <c r="F30" s="144">
        <v>0</v>
      </c>
      <c r="G30" s="145">
        <v>18</v>
      </c>
      <c r="H30" s="152">
        <f>E30*4+F30*9+G30*4</f>
        <v>73.6</v>
      </c>
      <c r="I30" s="306">
        <v>12</v>
      </c>
      <c r="J30" s="306"/>
      <c r="L30" s="37" t="s">
        <v>93</v>
      </c>
      <c r="M30" s="102">
        <f>B95+B17+B80</f>
        <v>76.33333333333334</v>
      </c>
    </row>
    <row r="31" spans="1:12" ht="24.75" customHeight="1">
      <c r="A31" s="466" t="s">
        <v>18</v>
      </c>
      <c r="B31" s="466"/>
      <c r="C31" s="466"/>
      <c r="D31" s="466"/>
      <c r="E31" s="128">
        <f>SUM(E32:E75)</f>
        <v>23.916666666666668</v>
      </c>
      <c r="F31" s="128">
        <f>SUM(F32:F75)</f>
        <v>21.933333333333334</v>
      </c>
      <c r="G31" s="128">
        <f>SUM(G32:G75)</f>
        <v>127.30000000000001</v>
      </c>
      <c r="H31" s="116">
        <f>SUM(H32:H75)</f>
        <v>802.2666666666667</v>
      </c>
      <c r="I31" s="128">
        <f>SUM(I32:I75)</f>
        <v>19.641999999999996</v>
      </c>
      <c r="J31" s="159"/>
      <c r="L31" s="39" t="s">
        <v>209</v>
      </c>
    </row>
    <row r="32" spans="1:13" ht="24.75" customHeight="1">
      <c r="A32" s="487" t="s">
        <v>116</v>
      </c>
      <c r="B32" s="488"/>
      <c r="C32" s="489"/>
      <c r="D32" s="41">
        <v>70</v>
      </c>
      <c r="E32" s="145">
        <v>0.8166666666666667</v>
      </c>
      <c r="F32" s="145">
        <v>4</v>
      </c>
      <c r="G32" s="145">
        <v>4.6</v>
      </c>
      <c r="H32" s="152">
        <f>E32*4+F32*9+G32*4</f>
        <v>57.666666666666664</v>
      </c>
      <c r="I32" s="306">
        <v>12.18</v>
      </c>
      <c r="J32" s="306" t="s">
        <v>358</v>
      </c>
      <c r="L32" s="39" t="s">
        <v>219</v>
      </c>
      <c r="M32" s="244"/>
    </row>
    <row r="33" spans="1:10" ht="24.75" customHeight="1">
      <c r="A33" s="184" t="s">
        <v>122</v>
      </c>
      <c r="B33" s="187">
        <f>C33*1.02</f>
        <v>37.74</v>
      </c>
      <c r="C33" s="187">
        <v>37</v>
      </c>
      <c r="D33" s="142"/>
      <c r="E33" s="161"/>
      <c r="F33" s="161"/>
      <c r="G33" s="161"/>
      <c r="H33" s="142"/>
      <c r="I33" s="306"/>
      <c r="J33" s="306"/>
    </row>
    <row r="34" spans="1:10" ht="24.75" customHeight="1">
      <c r="A34" s="431" t="s">
        <v>227</v>
      </c>
      <c r="B34" s="187">
        <f>C34*1.18</f>
        <v>43.66</v>
      </c>
      <c r="C34" s="187">
        <v>37</v>
      </c>
      <c r="D34" s="142"/>
      <c r="E34" s="161"/>
      <c r="F34" s="161"/>
      <c r="G34" s="161"/>
      <c r="H34" s="142"/>
      <c r="I34" s="306"/>
      <c r="J34" s="306"/>
    </row>
    <row r="35" spans="1:10" ht="24.75" customHeight="1">
      <c r="A35" s="184" t="s">
        <v>163</v>
      </c>
      <c r="B35" s="187">
        <f>C35*1.02</f>
        <v>25.5</v>
      </c>
      <c r="C35" s="183">
        <v>25</v>
      </c>
      <c r="D35" s="142"/>
      <c r="E35" s="161"/>
      <c r="F35" s="161"/>
      <c r="G35" s="161"/>
      <c r="H35" s="142"/>
      <c r="I35" s="306"/>
      <c r="J35" s="306"/>
    </row>
    <row r="36" spans="1:10" ht="24.75" customHeight="1">
      <c r="A36" s="184" t="s">
        <v>273</v>
      </c>
      <c r="B36" s="187">
        <f>C36*1.05</f>
        <v>26.25</v>
      </c>
      <c r="C36" s="183">
        <v>25</v>
      </c>
      <c r="D36" s="142"/>
      <c r="E36" s="161"/>
      <c r="F36" s="161"/>
      <c r="G36" s="161"/>
      <c r="H36" s="142"/>
      <c r="I36" s="306"/>
      <c r="J36" s="306"/>
    </row>
    <row r="37" spans="1:10" ht="24.75" customHeight="1">
      <c r="A37" s="202" t="s">
        <v>225</v>
      </c>
      <c r="B37" s="140">
        <f>C37*1.25</f>
        <v>8.75</v>
      </c>
      <c r="C37" s="112">
        <v>7</v>
      </c>
      <c r="D37" s="42"/>
      <c r="E37" s="161"/>
      <c r="F37" s="161"/>
      <c r="G37" s="161"/>
      <c r="H37" s="142"/>
      <c r="I37" s="306"/>
      <c r="J37" s="306"/>
    </row>
    <row r="38" spans="1:10" ht="24.75" customHeight="1">
      <c r="A38" s="123" t="s">
        <v>115</v>
      </c>
      <c r="B38" s="94">
        <f>C38*1.19</f>
        <v>8.33</v>
      </c>
      <c r="C38" s="112">
        <v>7</v>
      </c>
      <c r="D38" s="42"/>
      <c r="E38" s="161"/>
      <c r="F38" s="161"/>
      <c r="G38" s="161"/>
      <c r="H38" s="142"/>
      <c r="I38" s="306"/>
      <c r="J38" s="306"/>
    </row>
    <row r="39" spans="1:10" ht="24.75" customHeight="1">
      <c r="A39" s="123" t="s">
        <v>20</v>
      </c>
      <c r="B39" s="112">
        <v>4</v>
      </c>
      <c r="C39" s="112">
        <v>4</v>
      </c>
      <c r="D39" s="42"/>
      <c r="E39" s="161"/>
      <c r="F39" s="161"/>
      <c r="G39" s="161"/>
      <c r="H39" s="142"/>
      <c r="I39" s="306"/>
      <c r="J39" s="306"/>
    </row>
    <row r="40" spans="1:10" ht="24.75" customHeight="1">
      <c r="A40" s="479" t="s">
        <v>601</v>
      </c>
      <c r="B40" s="479"/>
      <c r="C40" s="479"/>
      <c r="D40" s="41" t="s">
        <v>494</v>
      </c>
      <c r="E40" s="145">
        <v>6.1</v>
      </c>
      <c r="F40" s="145">
        <v>5.9</v>
      </c>
      <c r="G40" s="145">
        <v>35</v>
      </c>
      <c r="H40" s="152">
        <f>E40*4+F40*9+G40*4</f>
        <v>217.5</v>
      </c>
      <c r="I40" s="306">
        <v>5.5</v>
      </c>
      <c r="J40" s="306" t="s">
        <v>464</v>
      </c>
    </row>
    <row r="41" spans="1:10" ht="24.75" customHeight="1">
      <c r="A41" s="117" t="s">
        <v>69</v>
      </c>
      <c r="B41" s="219">
        <f>C41*1.18</f>
        <v>18.88</v>
      </c>
      <c r="C41" s="162">
        <v>16</v>
      </c>
      <c r="D41" s="191"/>
      <c r="E41" s="140"/>
      <c r="F41" s="192"/>
      <c r="G41" s="192"/>
      <c r="H41" s="193"/>
      <c r="I41" s="321"/>
      <c r="J41" s="319"/>
    </row>
    <row r="42" spans="1:10" ht="24.75" customHeight="1">
      <c r="A42" s="195" t="s">
        <v>73</v>
      </c>
      <c r="B42" s="31">
        <f>C42*1.36</f>
        <v>21.76</v>
      </c>
      <c r="C42" s="162">
        <v>16</v>
      </c>
      <c r="D42" s="191"/>
      <c r="E42" s="140"/>
      <c r="F42" s="140"/>
      <c r="G42" s="140"/>
      <c r="H42" s="140"/>
      <c r="I42" s="140"/>
      <c r="J42" s="140"/>
    </row>
    <row r="43" spans="1:24" ht="24.75" customHeight="1">
      <c r="A43" s="115" t="s">
        <v>602</v>
      </c>
      <c r="B43" s="16">
        <v>29</v>
      </c>
      <c r="C43" s="16">
        <v>19</v>
      </c>
      <c r="D43" s="41"/>
      <c r="E43" s="44"/>
      <c r="F43" s="44"/>
      <c r="G43" s="44"/>
      <c r="H43" s="45"/>
      <c r="I43" s="307"/>
      <c r="J43" s="306"/>
      <c r="O43" s="479" t="s">
        <v>280</v>
      </c>
      <c r="P43" s="479"/>
      <c r="Q43" s="479"/>
      <c r="R43" s="41" t="s">
        <v>413</v>
      </c>
      <c r="S43" s="145">
        <v>3.6</v>
      </c>
      <c r="T43" s="291">
        <v>4.3</v>
      </c>
      <c r="U43" s="291">
        <v>24.5</v>
      </c>
      <c r="V43" s="152">
        <f>S43*4+T43*9+U43*4</f>
        <v>151.1</v>
      </c>
      <c r="W43" s="306">
        <v>14.471428571428572</v>
      </c>
      <c r="X43" s="363" t="s">
        <v>412</v>
      </c>
    </row>
    <row r="44" spans="1:24" ht="24.75" customHeight="1">
      <c r="A44" s="184" t="s">
        <v>21</v>
      </c>
      <c r="B44" s="187">
        <f>C44*1.33</f>
        <v>79.80000000000001</v>
      </c>
      <c r="C44" s="183">
        <v>60</v>
      </c>
      <c r="D44" s="151"/>
      <c r="E44" s="145"/>
      <c r="F44" s="145"/>
      <c r="G44" s="145"/>
      <c r="H44" s="187"/>
      <c r="I44" s="317"/>
      <c r="J44" s="317"/>
      <c r="O44" s="234" t="s">
        <v>281</v>
      </c>
      <c r="P44" s="379">
        <v>26</v>
      </c>
      <c r="Q44" s="337">
        <v>25</v>
      </c>
      <c r="R44" s="41"/>
      <c r="S44" s="145"/>
      <c r="T44" s="291"/>
      <c r="U44" s="291"/>
      <c r="V44" s="152"/>
      <c r="W44" s="306"/>
      <c r="X44" s="306"/>
    </row>
    <row r="45" spans="1:24" ht="24.75" customHeight="1">
      <c r="A45" s="123" t="s">
        <v>22</v>
      </c>
      <c r="B45" s="94">
        <f>C45*1.43</f>
        <v>85.8</v>
      </c>
      <c r="C45" s="183">
        <v>60</v>
      </c>
      <c r="D45" s="41"/>
      <c r="E45" s="44"/>
      <c r="F45" s="44"/>
      <c r="G45" s="44"/>
      <c r="H45" s="45"/>
      <c r="I45" s="307"/>
      <c r="J45" s="306"/>
      <c r="O45" s="184" t="s">
        <v>21</v>
      </c>
      <c r="P45" s="187">
        <f>Q45*1.33</f>
        <v>133</v>
      </c>
      <c r="Q45" s="187">
        <v>100</v>
      </c>
      <c r="R45" s="187"/>
      <c r="S45" s="145"/>
      <c r="T45" s="291"/>
      <c r="U45" s="291"/>
      <c r="V45" s="152"/>
      <c r="W45" s="306"/>
      <c r="X45" s="306"/>
    </row>
    <row r="46" spans="1:24" ht="24.75" customHeight="1">
      <c r="A46" s="123" t="s">
        <v>23</v>
      </c>
      <c r="B46" s="94">
        <f>C46*1.54</f>
        <v>92.4</v>
      </c>
      <c r="C46" s="183">
        <v>60</v>
      </c>
      <c r="D46" s="41"/>
      <c r="E46" s="44"/>
      <c r="F46" s="140"/>
      <c r="G46" s="140"/>
      <c r="H46" s="94"/>
      <c r="I46" s="316"/>
      <c r="J46" s="317"/>
      <c r="O46" s="123" t="s">
        <v>22</v>
      </c>
      <c r="P46" s="94">
        <f>Q46*1.43</f>
        <v>143</v>
      </c>
      <c r="Q46" s="187">
        <v>100</v>
      </c>
      <c r="R46" s="94"/>
      <c r="S46" s="140"/>
      <c r="T46" s="140"/>
      <c r="U46" s="140"/>
      <c r="V46" s="94"/>
      <c r="W46" s="316"/>
      <c r="X46" s="317"/>
    </row>
    <row r="47" spans="1:24" ht="24.75" customHeight="1">
      <c r="A47" s="123" t="s">
        <v>24</v>
      </c>
      <c r="B47" s="94">
        <f>C47*1.67</f>
        <v>100.19999999999999</v>
      </c>
      <c r="C47" s="183">
        <v>60</v>
      </c>
      <c r="D47" s="41"/>
      <c r="E47" s="44"/>
      <c r="F47" s="140"/>
      <c r="G47" s="140"/>
      <c r="H47" s="94"/>
      <c r="I47" s="316"/>
      <c r="J47" s="317"/>
      <c r="O47" s="123" t="s">
        <v>23</v>
      </c>
      <c r="P47" s="94">
        <f>Q47*1.54</f>
        <v>154</v>
      </c>
      <c r="Q47" s="187">
        <v>100</v>
      </c>
      <c r="R47" s="94"/>
      <c r="S47" s="140"/>
      <c r="T47" s="140"/>
      <c r="U47" s="140"/>
      <c r="V47" s="94"/>
      <c r="W47" s="316"/>
      <c r="X47" s="317"/>
    </row>
    <row r="48" spans="1:24" ht="24.75" customHeight="1">
      <c r="A48" s="123" t="s">
        <v>25</v>
      </c>
      <c r="B48" s="140">
        <f>C48*1.25</f>
        <v>12.5</v>
      </c>
      <c r="C48" s="112">
        <v>10</v>
      </c>
      <c r="D48" s="41"/>
      <c r="E48" s="44"/>
      <c r="F48" s="140"/>
      <c r="G48" s="140"/>
      <c r="H48" s="94"/>
      <c r="I48" s="316"/>
      <c r="J48" s="317"/>
      <c r="O48" s="123" t="s">
        <v>24</v>
      </c>
      <c r="P48" s="94">
        <f>Q48*1.67</f>
        <v>167</v>
      </c>
      <c r="Q48" s="187">
        <v>100</v>
      </c>
      <c r="R48" s="94"/>
      <c r="S48" s="140"/>
      <c r="T48" s="140"/>
      <c r="U48" s="140"/>
      <c r="V48" s="94"/>
      <c r="W48" s="316"/>
      <c r="X48" s="317"/>
    </row>
    <row r="49" spans="1:24" ht="24.75" customHeight="1">
      <c r="A49" s="123" t="s">
        <v>19</v>
      </c>
      <c r="B49" s="140">
        <f>C49*1.33</f>
        <v>13.3</v>
      </c>
      <c r="C49" s="112">
        <v>10</v>
      </c>
      <c r="D49" s="41"/>
      <c r="E49" s="44"/>
      <c r="F49" s="140"/>
      <c r="G49" s="140"/>
      <c r="H49" s="94"/>
      <c r="I49" s="316"/>
      <c r="J49" s="317"/>
      <c r="O49" s="123" t="s">
        <v>25</v>
      </c>
      <c r="P49" s="140">
        <f>Q49*1.25</f>
        <v>12.5</v>
      </c>
      <c r="Q49" s="112">
        <v>10</v>
      </c>
      <c r="R49" s="94"/>
      <c r="S49" s="140"/>
      <c r="T49" s="140"/>
      <c r="U49" s="140"/>
      <c r="V49" s="94"/>
      <c r="W49" s="316"/>
      <c r="X49" s="317"/>
    </row>
    <row r="50" spans="1:24" ht="24.75" customHeight="1">
      <c r="A50" s="123" t="s">
        <v>26</v>
      </c>
      <c r="B50" s="94">
        <f>C50*1.19</f>
        <v>11.899999999999999</v>
      </c>
      <c r="C50" s="112">
        <v>10</v>
      </c>
      <c r="D50" s="41"/>
      <c r="E50" s="44"/>
      <c r="F50" s="140"/>
      <c r="G50" s="140"/>
      <c r="H50" s="94"/>
      <c r="I50" s="316"/>
      <c r="J50" s="317"/>
      <c r="L50" s="38"/>
      <c r="O50" s="123" t="s">
        <v>19</v>
      </c>
      <c r="P50" s="94">
        <f>Q50*1.33</f>
        <v>13.3</v>
      </c>
      <c r="Q50" s="112">
        <v>10</v>
      </c>
      <c r="R50" s="94"/>
      <c r="S50" s="140"/>
      <c r="T50" s="140"/>
      <c r="U50" s="140"/>
      <c r="V50" s="94"/>
      <c r="W50" s="316"/>
      <c r="X50" s="317"/>
    </row>
    <row r="51" spans="1:24" ht="24.75" customHeight="1">
      <c r="A51" s="123" t="s">
        <v>27</v>
      </c>
      <c r="B51" s="112">
        <v>6</v>
      </c>
      <c r="C51" s="112">
        <v>6</v>
      </c>
      <c r="D51" s="41"/>
      <c r="E51" s="44"/>
      <c r="F51" s="140"/>
      <c r="G51" s="140"/>
      <c r="H51" s="94"/>
      <c r="I51" s="316"/>
      <c r="J51" s="317"/>
      <c r="L51" s="38"/>
      <c r="O51" s="123" t="s">
        <v>26</v>
      </c>
      <c r="P51" s="94">
        <f>Q51*1.19</f>
        <v>11.899999999999999</v>
      </c>
      <c r="Q51" s="112">
        <v>10</v>
      </c>
      <c r="R51" s="94"/>
      <c r="S51" s="140"/>
      <c r="T51" s="140"/>
      <c r="U51" s="140"/>
      <c r="V51" s="94"/>
      <c r="W51" s="316"/>
      <c r="X51" s="317"/>
    </row>
    <row r="52" spans="1:24" ht="24.75" customHeight="1">
      <c r="A52" s="115" t="s">
        <v>148</v>
      </c>
      <c r="B52" s="16">
        <v>16</v>
      </c>
      <c r="C52" s="16">
        <v>16</v>
      </c>
      <c r="D52" s="112"/>
      <c r="E52" s="140"/>
      <c r="F52" s="140"/>
      <c r="G52" s="140"/>
      <c r="H52" s="94"/>
      <c r="I52" s="316"/>
      <c r="J52" s="317"/>
      <c r="L52" s="38"/>
      <c r="O52" s="123"/>
      <c r="P52" s="94"/>
      <c r="Q52" s="112"/>
      <c r="R52" s="94"/>
      <c r="S52" s="140"/>
      <c r="T52" s="140"/>
      <c r="U52" s="140"/>
      <c r="V52" s="94"/>
      <c r="W52" s="316"/>
      <c r="X52" s="317"/>
    </row>
    <row r="53" spans="1:24" ht="24.75" customHeight="1">
      <c r="A53" s="487" t="s">
        <v>254</v>
      </c>
      <c r="B53" s="488"/>
      <c r="C53" s="489"/>
      <c r="D53" s="41">
        <v>90</v>
      </c>
      <c r="E53" s="145">
        <v>7.5</v>
      </c>
      <c r="F53" s="145">
        <v>7.1</v>
      </c>
      <c r="G53" s="145">
        <v>4.2</v>
      </c>
      <c r="H53" s="152">
        <f>E53*4+F53*9+G53*4</f>
        <v>110.7</v>
      </c>
      <c r="I53" s="306">
        <v>0.162</v>
      </c>
      <c r="J53" s="306" t="s">
        <v>359</v>
      </c>
      <c r="L53" s="38"/>
      <c r="O53" s="123" t="s">
        <v>27</v>
      </c>
      <c r="P53" s="94">
        <v>6</v>
      </c>
      <c r="Q53" s="112">
        <v>6</v>
      </c>
      <c r="R53" s="94"/>
      <c r="S53" s="140"/>
      <c r="T53" s="140"/>
      <c r="U53" s="140"/>
      <c r="V53" s="94"/>
      <c r="W53" s="316"/>
      <c r="X53" s="317"/>
    </row>
    <row r="54" spans="1:24" ht="24.75" customHeight="1">
      <c r="A54" s="195" t="s">
        <v>62</v>
      </c>
      <c r="B54" s="196">
        <f>C54*1.36</f>
        <v>78.88000000000001</v>
      </c>
      <c r="C54" s="94">
        <v>58</v>
      </c>
      <c r="D54" s="45"/>
      <c r="E54" s="41"/>
      <c r="F54" s="44"/>
      <c r="G54" s="44"/>
      <c r="H54" s="45"/>
      <c r="I54" s="307"/>
      <c r="J54" s="306"/>
      <c r="L54" s="38"/>
      <c r="O54" s="123" t="s">
        <v>70</v>
      </c>
      <c r="P54" s="94">
        <v>2</v>
      </c>
      <c r="Q54" s="112">
        <v>2</v>
      </c>
      <c r="R54" s="94"/>
      <c r="S54" s="140"/>
      <c r="T54" s="140"/>
      <c r="U54" s="140"/>
      <c r="V54" s="94"/>
      <c r="W54" s="316"/>
      <c r="X54" s="317"/>
    </row>
    <row r="55" spans="1:12" ht="24.75" customHeight="1">
      <c r="A55" s="117" t="s">
        <v>74</v>
      </c>
      <c r="B55" s="196">
        <f>C55*1.18</f>
        <v>68.44</v>
      </c>
      <c r="C55" s="94">
        <v>58</v>
      </c>
      <c r="D55" s="45"/>
      <c r="E55" s="41"/>
      <c r="F55" s="41"/>
      <c r="G55" s="41"/>
      <c r="H55" s="45"/>
      <c r="I55" s="307"/>
      <c r="J55" s="306"/>
      <c r="L55" s="38"/>
    </row>
    <row r="56" spans="1:12" ht="24.75" customHeight="1">
      <c r="A56" s="117" t="s">
        <v>414</v>
      </c>
      <c r="B56" s="196">
        <f>C56</f>
        <v>58</v>
      </c>
      <c r="C56" s="94">
        <v>58</v>
      </c>
      <c r="D56" s="45"/>
      <c r="E56" s="41"/>
      <c r="F56" s="41"/>
      <c r="G56" s="41"/>
      <c r="H56" s="45"/>
      <c r="I56" s="307"/>
      <c r="J56" s="306"/>
      <c r="L56" s="38"/>
    </row>
    <row r="57" spans="1:12" ht="24.75" customHeight="1">
      <c r="A57" s="139" t="s">
        <v>36</v>
      </c>
      <c r="B57" s="187">
        <v>6</v>
      </c>
      <c r="C57" s="94">
        <v>6</v>
      </c>
      <c r="D57" s="45"/>
      <c r="E57" s="41"/>
      <c r="F57" s="44"/>
      <c r="G57" s="44"/>
      <c r="H57" s="45"/>
      <c r="I57" s="307"/>
      <c r="J57" s="306"/>
      <c r="L57" s="38"/>
    </row>
    <row r="58" spans="1:12" ht="24.75" customHeight="1">
      <c r="A58" s="171" t="s">
        <v>206</v>
      </c>
      <c r="B58" s="187">
        <v>15</v>
      </c>
      <c r="C58" s="94">
        <v>15</v>
      </c>
      <c r="D58" s="45"/>
      <c r="E58" s="41"/>
      <c r="F58" s="44"/>
      <c r="G58" s="44"/>
      <c r="H58" s="45"/>
      <c r="I58" s="307"/>
      <c r="J58" s="306"/>
      <c r="L58" s="38"/>
    </row>
    <row r="59" spans="1:12" ht="24.75" customHeight="1">
      <c r="A59" s="123" t="s">
        <v>26</v>
      </c>
      <c r="B59" s="94">
        <f>C59*1.19</f>
        <v>7.14</v>
      </c>
      <c r="C59" s="94">
        <v>6</v>
      </c>
      <c r="D59" s="45"/>
      <c r="E59" s="41"/>
      <c r="F59" s="44"/>
      <c r="G59" s="44"/>
      <c r="H59" s="45"/>
      <c r="I59" s="307"/>
      <c r="J59" s="306"/>
      <c r="L59" s="38"/>
    </row>
    <row r="60" spans="1:12" ht="24.75" customHeight="1">
      <c r="A60" s="123" t="s">
        <v>28</v>
      </c>
      <c r="B60" s="94">
        <v>4</v>
      </c>
      <c r="C60" s="94">
        <v>4</v>
      </c>
      <c r="D60" s="45"/>
      <c r="E60" s="41"/>
      <c r="F60" s="44"/>
      <c r="G60" s="44"/>
      <c r="H60" s="45"/>
      <c r="I60" s="307"/>
      <c r="J60" s="306"/>
      <c r="L60" s="38"/>
    </row>
    <row r="61" spans="1:12" ht="24.75" customHeight="1">
      <c r="A61" s="123" t="s">
        <v>20</v>
      </c>
      <c r="B61" s="94">
        <v>7</v>
      </c>
      <c r="C61" s="94">
        <v>7</v>
      </c>
      <c r="D61" s="45"/>
      <c r="E61" s="41"/>
      <c r="F61" s="44"/>
      <c r="G61" s="44"/>
      <c r="H61" s="45"/>
      <c r="I61" s="307"/>
      <c r="J61" s="306"/>
      <c r="L61" s="38"/>
    </row>
    <row r="62" spans="1:12" ht="24.75" customHeight="1">
      <c r="A62" s="121" t="s">
        <v>169</v>
      </c>
      <c r="B62" s="94"/>
      <c r="C62" s="118">
        <v>20</v>
      </c>
      <c r="D62" s="41"/>
      <c r="E62" s="41"/>
      <c r="F62" s="44"/>
      <c r="G62" s="44"/>
      <c r="H62" s="45"/>
      <c r="I62" s="307"/>
      <c r="J62" s="306"/>
      <c r="L62" s="38"/>
    </row>
    <row r="63" spans="1:12" ht="24.75" customHeight="1">
      <c r="A63" s="123" t="s">
        <v>28</v>
      </c>
      <c r="B63" s="140">
        <v>1.2</v>
      </c>
      <c r="C63" s="140">
        <v>1.2</v>
      </c>
      <c r="D63" s="41"/>
      <c r="E63" s="41"/>
      <c r="F63" s="44"/>
      <c r="G63" s="44"/>
      <c r="H63" s="45"/>
      <c r="I63" s="307"/>
      <c r="J63" s="306"/>
      <c r="L63" s="38"/>
    </row>
    <row r="64" spans="1:12" ht="24.75" customHeight="1">
      <c r="A64" s="123" t="s">
        <v>27</v>
      </c>
      <c r="B64" s="140">
        <v>1.2</v>
      </c>
      <c r="C64" s="140">
        <v>1.2</v>
      </c>
      <c r="D64" s="41"/>
      <c r="E64" s="41"/>
      <c r="F64" s="44"/>
      <c r="G64" s="44"/>
      <c r="H64" s="45"/>
      <c r="I64" s="307"/>
      <c r="J64" s="306"/>
      <c r="L64" s="38"/>
    </row>
    <row r="65" spans="1:12" ht="24.75" customHeight="1">
      <c r="A65" s="115" t="s">
        <v>110</v>
      </c>
      <c r="B65" s="94">
        <v>10</v>
      </c>
      <c r="C65" s="94">
        <v>10</v>
      </c>
      <c r="D65" s="41"/>
      <c r="E65" s="41"/>
      <c r="F65" s="44"/>
      <c r="G65" s="44"/>
      <c r="H65" s="45"/>
      <c r="I65" s="307"/>
      <c r="J65" s="306"/>
      <c r="L65" s="38"/>
    </row>
    <row r="66" spans="1:12" ht="24.75" customHeight="1">
      <c r="A66" s="115" t="s">
        <v>95</v>
      </c>
      <c r="B66" s="94">
        <v>10</v>
      </c>
      <c r="C66" s="94">
        <v>10</v>
      </c>
      <c r="D66" s="41"/>
      <c r="E66" s="41"/>
      <c r="F66" s="44"/>
      <c r="G66" s="44"/>
      <c r="H66" s="45"/>
      <c r="I66" s="307"/>
      <c r="J66" s="306"/>
      <c r="L66" s="38"/>
    </row>
    <row r="67" spans="1:12" ht="24.75" customHeight="1">
      <c r="A67" s="473" t="s">
        <v>341</v>
      </c>
      <c r="B67" s="474"/>
      <c r="C67" s="475"/>
      <c r="D67" s="151">
        <v>150</v>
      </c>
      <c r="E67" s="145">
        <v>1.8</v>
      </c>
      <c r="F67" s="145">
        <v>3.5</v>
      </c>
      <c r="G67" s="145">
        <v>27</v>
      </c>
      <c r="H67" s="152">
        <f>E67*4+F67*9+G67*4</f>
        <v>146.7</v>
      </c>
      <c r="I67" s="317">
        <v>1.4</v>
      </c>
      <c r="J67" s="317" t="s">
        <v>348</v>
      </c>
      <c r="L67" s="38"/>
    </row>
    <row r="68" spans="1:12" ht="24.75" customHeight="1">
      <c r="A68" s="139" t="s">
        <v>31</v>
      </c>
      <c r="B68" s="153">
        <v>40</v>
      </c>
      <c r="C68" s="153">
        <v>40</v>
      </c>
      <c r="D68" s="153"/>
      <c r="E68" s="161"/>
      <c r="F68" s="161"/>
      <c r="G68" s="145"/>
      <c r="H68" s="152"/>
      <c r="I68" s="319"/>
      <c r="J68" s="319"/>
      <c r="L68" s="38"/>
    </row>
    <row r="69" spans="1:12" ht="24.75" customHeight="1">
      <c r="A69" s="139" t="s">
        <v>57</v>
      </c>
      <c r="B69" s="142">
        <f>C69*1.67</f>
        <v>58.449999999999996</v>
      </c>
      <c r="C69" s="153">
        <v>35</v>
      </c>
      <c r="D69" s="153"/>
      <c r="E69" s="161"/>
      <c r="F69" s="161"/>
      <c r="G69" s="161"/>
      <c r="H69" s="161"/>
      <c r="I69" s="161"/>
      <c r="J69" s="319"/>
      <c r="L69" s="38"/>
    </row>
    <row r="70" spans="1:12" ht="24.75" customHeight="1">
      <c r="A70" s="184" t="s">
        <v>27</v>
      </c>
      <c r="B70" s="183">
        <v>5</v>
      </c>
      <c r="C70" s="183">
        <v>5</v>
      </c>
      <c r="D70" s="185"/>
      <c r="E70" s="185"/>
      <c r="F70" s="185"/>
      <c r="G70" s="185"/>
      <c r="H70" s="233"/>
      <c r="I70" s="319"/>
      <c r="J70" s="319"/>
      <c r="L70" s="38"/>
    </row>
    <row r="71" spans="1:12" ht="24.75" customHeight="1">
      <c r="A71" s="468" t="s">
        <v>71</v>
      </c>
      <c r="B71" s="468"/>
      <c r="C71" s="468"/>
      <c r="D71" s="41">
        <v>200</v>
      </c>
      <c r="E71" s="145">
        <v>0.3</v>
      </c>
      <c r="F71" s="145">
        <v>0.13333333333333333</v>
      </c>
      <c r="G71" s="145">
        <v>20.8</v>
      </c>
      <c r="H71" s="45">
        <f>E71*4+F71*9+G71*4</f>
        <v>85.60000000000001</v>
      </c>
      <c r="I71" s="307">
        <v>0.4</v>
      </c>
      <c r="J71" s="306" t="s">
        <v>360</v>
      </c>
      <c r="K71" s="194"/>
      <c r="L71" s="38"/>
    </row>
    <row r="72" spans="1:12" ht="24.75" customHeight="1">
      <c r="A72" s="123" t="s">
        <v>43</v>
      </c>
      <c r="B72" s="112">
        <v>25</v>
      </c>
      <c r="C72" s="112">
        <v>25</v>
      </c>
      <c r="D72" s="41"/>
      <c r="E72" s="145"/>
      <c r="F72" s="145"/>
      <c r="G72" s="145"/>
      <c r="H72" s="152"/>
      <c r="I72" s="306"/>
      <c r="J72" s="306"/>
      <c r="L72" s="38"/>
    </row>
    <row r="73" spans="1:12" ht="15.75" customHeight="1">
      <c r="A73" s="184" t="s">
        <v>12</v>
      </c>
      <c r="B73" s="183">
        <v>10</v>
      </c>
      <c r="C73" s="183">
        <v>10</v>
      </c>
      <c r="D73" s="183"/>
      <c r="E73" s="188"/>
      <c r="F73" s="188"/>
      <c r="G73" s="188"/>
      <c r="H73" s="188"/>
      <c r="I73" s="188"/>
      <c r="J73" s="317"/>
      <c r="L73" s="38"/>
    </row>
    <row r="74" spans="1:12" ht="15" customHeight="1">
      <c r="A74" s="468" t="s">
        <v>258</v>
      </c>
      <c r="B74" s="468"/>
      <c r="C74" s="468"/>
      <c r="D74" s="41">
        <v>50</v>
      </c>
      <c r="E74" s="145">
        <v>4.1</v>
      </c>
      <c r="F74" s="145">
        <v>0.7</v>
      </c>
      <c r="G74" s="145">
        <v>19</v>
      </c>
      <c r="H74" s="152">
        <v>98.7</v>
      </c>
      <c r="I74" s="306">
        <v>0</v>
      </c>
      <c r="J74" s="306"/>
      <c r="L74" s="38"/>
    </row>
    <row r="75" spans="1:12" ht="15.75" customHeight="1">
      <c r="A75" s="461" t="s">
        <v>72</v>
      </c>
      <c r="B75" s="461"/>
      <c r="C75" s="461"/>
      <c r="D75" s="151">
        <v>50</v>
      </c>
      <c r="E75" s="145">
        <v>3.3</v>
      </c>
      <c r="F75" s="145">
        <v>0.6</v>
      </c>
      <c r="G75" s="145">
        <v>16.7</v>
      </c>
      <c r="H75" s="152">
        <v>85.39999999999999</v>
      </c>
      <c r="I75" s="306">
        <v>0</v>
      </c>
      <c r="J75" s="306"/>
      <c r="L75" s="38"/>
    </row>
    <row r="76" spans="1:12" ht="24.75" customHeight="1">
      <c r="A76" s="466" t="s">
        <v>61</v>
      </c>
      <c r="B76" s="466"/>
      <c r="C76" s="466"/>
      <c r="D76" s="466"/>
      <c r="E76" s="159">
        <f>SUM(E77:E87)</f>
        <v>5.6</v>
      </c>
      <c r="F76" s="159">
        <f>SUM(F77:F87)</f>
        <v>5.9</v>
      </c>
      <c r="G76" s="159">
        <f>SUM(G77:G87)</f>
        <v>44</v>
      </c>
      <c r="H76" s="215">
        <f>SUM(H77:H87)</f>
        <v>251.5</v>
      </c>
      <c r="I76" s="159">
        <f>SUM(I77:I87)</f>
        <v>19</v>
      </c>
      <c r="J76" s="159"/>
      <c r="L76" s="38"/>
    </row>
    <row r="77" spans="1:12" ht="24.75" customHeight="1">
      <c r="A77" s="462" t="s">
        <v>402</v>
      </c>
      <c r="B77" s="462"/>
      <c r="C77" s="462"/>
      <c r="D77" s="51">
        <v>100</v>
      </c>
      <c r="E77" s="44">
        <v>5.5</v>
      </c>
      <c r="F77" s="44">
        <v>5.9</v>
      </c>
      <c r="G77" s="44">
        <v>22</v>
      </c>
      <c r="H77" s="45">
        <f>E77*4+F77*9+G77*4</f>
        <v>163.1</v>
      </c>
      <c r="I77" s="307">
        <v>0</v>
      </c>
      <c r="J77" s="306" t="s">
        <v>348</v>
      </c>
      <c r="L77" s="38"/>
    </row>
    <row r="78" spans="1:12" ht="24.75" customHeight="1">
      <c r="A78" s="114" t="s">
        <v>403</v>
      </c>
      <c r="B78" s="55">
        <v>69</v>
      </c>
      <c r="C78" s="55">
        <v>67</v>
      </c>
      <c r="D78" s="307"/>
      <c r="E78" s="41"/>
      <c r="F78" s="41"/>
      <c r="G78" s="41"/>
      <c r="H78" s="45"/>
      <c r="I78" s="307"/>
      <c r="J78" s="306"/>
      <c r="L78" s="38"/>
    </row>
    <row r="79" spans="1:12" ht="24.75" customHeight="1">
      <c r="A79" s="114" t="s">
        <v>34</v>
      </c>
      <c r="B79" s="55">
        <v>4</v>
      </c>
      <c r="C79" s="55">
        <v>4</v>
      </c>
      <c r="D79" s="307"/>
      <c r="E79" s="41"/>
      <c r="F79" s="41"/>
      <c r="G79" s="44"/>
      <c r="H79" s="45"/>
      <c r="I79" s="41"/>
      <c r="J79" s="41"/>
      <c r="L79" s="38"/>
    </row>
    <row r="80" spans="1:12" ht="24.75" customHeight="1">
      <c r="A80" s="115" t="s">
        <v>29</v>
      </c>
      <c r="B80" s="55">
        <v>14</v>
      </c>
      <c r="C80" s="55">
        <v>14</v>
      </c>
      <c r="D80" s="307"/>
      <c r="E80" s="41"/>
      <c r="F80" s="50"/>
      <c r="G80" s="50"/>
      <c r="H80" s="42"/>
      <c r="I80" s="307"/>
      <c r="J80" s="306"/>
      <c r="L80" s="38"/>
    </row>
    <row r="81" spans="1:12" ht="24.75" customHeight="1">
      <c r="A81" s="114" t="s">
        <v>12</v>
      </c>
      <c r="B81" s="55">
        <v>7</v>
      </c>
      <c r="C81" s="55">
        <v>7</v>
      </c>
      <c r="D81" s="307"/>
      <c r="E81" s="41"/>
      <c r="F81" s="50"/>
      <c r="G81" s="50"/>
      <c r="H81" s="42"/>
      <c r="I81" s="307"/>
      <c r="J81" s="306"/>
      <c r="L81" s="38"/>
    </row>
    <row r="82" spans="1:12" ht="24.75" customHeight="1">
      <c r="A82" s="114" t="s">
        <v>27</v>
      </c>
      <c r="B82" s="257">
        <v>1.3</v>
      </c>
      <c r="C82" s="257">
        <v>1.3</v>
      </c>
      <c r="D82" s="307"/>
      <c r="E82" s="41"/>
      <c r="F82" s="50"/>
      <c r="G82" s="50"/>
      <c r="H82" s="42"/>
      <c r="I82" s="307"/>
      <c r="J82" s="306"/>
      <c r="L82" s="38"/>
    </row>
    <row r="83" spans="1:12" ht="24.75" customHeight="1">
      <c r="A83" s="125" t="s">
        <v>404</v>
      </c>
      <c r="B83" s="55"/>
      <c r="C83" s="55"/>
      <c r="D83" s="307"/>
      <c r="E83" s="41"/>
      <c r="F83" s="50"/>
      <c r="G83" s="50"/>
      <c r="H83" s="42"/>
      <c r="I83" s="307"/>
      <c r="J83" s="306"/>
      <c r="L83" s="38"/>
    </row>
    <row r="84" spans="1:12" ht="24.75" customHeight="1">
      <c r="A84" s="114" t="s">
        <v>27</v>
      </c>
      <c r="B84" s="55">
        <v>7</v>
      </c>
      <c r="C84" s="55">
        <v>7</v>
      </c>
      <c r="D84" s="307"/>
      <c r="E84" s="41"/>
      <c r="F84" s="50"/>
      <c r="G84" s="50"/>
      <c r="H84" s="42"/>
      <c r="I84" s="307"/>
      <c r="J84" s="306"/>
      <c r="L84" s="38"/>
    </row>
    <row r="85" spans="1:12" ht="24.75" customHeight="1">
      <c r="A85" s="115" t="s">
        <v>28</v>
      </c>
      <c r="B85" s="42">
        <v>7</v>
      </c>
      <c r="C85" s="42">
        <v>7</v>
      </c>
      <c r="D85" s="307"/>
      <c r="E85" s="41"/>
      <c r="F85" s="50"/>
      <c r="G85" s="50"/>
      <c r="H85" s="42"/>
      <c r="I85" s="307"/>
      <c r="J85" s="306"/>
      <c r="L85" s="38"/>
    </row>
    <row r="86" spans="1:12" ht="42.75" customHeight="1">
      <c r="A86" s="114" t="s">
        <v>12</v>
      </c>
      <c r="B86" s="48">
        <v>4</v>
      </c>
      <c r="C86" s="48">
        <v>4</v>
      </c>
      <c r="D86" s="307"/>
      <c r="E86" s="41"/>
      <c r="F86" s="41"/>
      <c r="G86" s="41"/>
      <c r="H86" s="45"/>
      <c r="I86" s="307"/>
      <c r="J86" s="306"/>
      <c r="L86" s="38"/>
    </row>
    <row r="87" spans="1:12" ht="24.75" customHeight="1">
      <c r="A87" s="482" t="s">
        <v>504</v>
      </c>
      <c r="B87" s="482"/>
      <c r="C87" s="482"/>
      <c r="D87" s="143">
        <v>200</v>
      </c>
      <c r="E87" s="143">
        <v>0.1</v>
      </c>
      <c r="F87" s="144">
        <v>0</v>
      </c>
      <c r="G87" s="144">
        <v>22</v>
      </c>
      <c r="H87" s="152">
        <f>E87*4+F87*9+G87*4</f>
        <v>88.4</v>
      </c>
      <c r="I87" s="317">
        <v>19</v>
      </c>
      <c r="J87" s="317" t="s">
        <v>503</v>
      </c>
      <c r="L87" s="38"/>
    </row>
    <row r="88" spans="1:24" ht="24.75" customHeight="1">
      <c r="A88" s="466" t="s">
        <v>30</v>
      </c>
      <c r="B88" s="466"/>
      <c r="C88" s="466"/>
      <c r="D88" s="466"/>
      <c r="E88" s="128">
        <f>E89+E111+E25+E123+E124+E126+E120</f>
        <v>19.7</v>
      </c>
      <c r="F88" s="128">
        <f>F89+F111+F25+F123+F124+F126+F120</f>
        <v>19.82</v>
      </c>
      <c r="G88" s="128">
        <f>G89+G111+G25+G123+G124+G126+G120</f>
        <v>71.545</v>
      </c>
      <c r="H88" s="116">
        <f>H89+H111+H25+H123+H124+H126+H120</f>
        <v>543.08</v>
      </c>
      <c r="I88" s="128">
        <f>I89+I111+I25+I123+I124+I126+I120</f>
        <v>12.512307692307692</v>
      </c>
      <c r="J88" s="159"/>
      <c r="L88" s="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12" ht="24.75" customHeight="1">
      <c r="A89" s="468" t="s">
        <v>211</v>
      </c>
      <c r="B89" s="468"/>
      <c r="C89" s="468"/>
      <c r="D89" s="43" t="s">
        <v>244</v>
      </c>
      <c r="E89" s="144">
        <v>8</v>
      </c>
      <c r="F89" s="144">
        <v>9.2</v>
      </c>
      <c r="G89" s="144">
        <v>11.8</v>
      </c>
      <c r="H89" s="152">
        <f>E89*4+F89*9+G89*4</f>
        <v>162</v>
      </c>
      <c r="I89" s="306">
        <v>0.2623076923076923</v>
      </c>
      <c r="J89" s="306" t="s">
        <v>348</v>
      </c>
      <c r="L89" s="38"/>
    </row>
    <row r="90" spans="1:24" ht="24.75" customHeight="1">
      <c r="A90" s="234" t="s">
        <v>309</v>
      </c>
      <c r="B90" s="196">
        <f>C90*1.34</f>
        <v>127.30000000000001</v>
      </c>
      <c r="C90" s="112">
        <v>95</v>
      </c>
      <c r="D90" s="94"/>
      <c r="E90" s="187"/>
      <c r="F90" s="183"/>
      <c r="G90" s="183"/>
      <c r="H90" s="187"/>
      <c r="I90" s="317"/>
      <c r="J90" s="317"/>
      <c r="L90" s="3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12" ht="24.75" customHeight="1">
      <c r="A91" s="203" t="s">
        <v>241</v>
      </c>
      <c r="B91" s="196">
        <v>81</v>
      </c>
      <c r="C91" s="112">
        <v>95</v>
      </c>
      <c r="D91" s="94"/>
      <c r="E91" s="144"/>
      <c r="F91" s="144"/>
      <c r="G91" s="144"/>
      <c r="H91" s="152"/>
      <c r="I91" s="306"/>
      <c r="J91" s="306"/>
      <c r="L91" s="38"/>
    </row>
    <row r="92" spans="1:12" ht="24.75" customHeight="1">
      <c r="A92" s="123" t="s">
        <v>36</v>
      </c>
      <c r="B92" s="94">
        <v>10</v>
      </c>
      <c r="C92" s="94">
        <v>10</v>
      </c>
      <c r="D92" s="94"/>
      <c r="E92" s="187"/>
      <c r="F92" s="183"/>
      <c r="G92" s="183"/>
      <c r="H92" s="187"/>
      <c r="I92" s="317"/>
      <c r="J92" s="317"/>
      <c r="L92" s="38"/>
    </row>
    <row r="93" spans="1:12" ht="24.75" customHeight="1">
      <c r="A93" s="343" t="s">
        <v>183</v>
      </c>
      <c r="B93" s="112">
        <v>15</v>
      </c>
      <c r="C93" s="112">
        <v>15</v>
      </c>
      <c r="D93" s="94"/>
      <c r="E93" s="187"/>
      <c r="F93" s="183"/>
      <c r="G93" s="183"/>
      <c r="H93" s="187"/>
      <c r="I93" s="317"/>
      <c r="J93" s="317"/>
      <c r="L93" s="38"/>
    </row>
    <row r="94" spans="1:12" ht="24.75" customHeight="1">
      <c r="A94" s="434" t="s">
        <v>206</v>
      </c>
      <c r="B94" s="112">
        <v>8</v>
      </c>
      <c r="C94" s="112">
        <v>8</v>
      </c>
      <c r="D94" s="94"/>
      <c r="E94" s="187"/>
      <c r="F94" s="183"/>
      <c r="G94" s="183"/>
      <c r="H94" s="187"/>
      <c r="I94" s="317"/>
      <c r="J94" s="317"/>
      <c r="L94" s="38"/>
    </row>
    <row r="95" spans="1:12" ht="24.75" customHeight="1">
      <c r="A95" s="115" t="s">
        <v>29</v>
      </c>
      <c r="B95" s="112">
        <v>9</v>
      </c>
      <c r="C95" s="112">
        <v>9</v>
      </c>
      <c r="D95" s="94"/>
      <c r="E95" s="187"/>
      <c r="F95" s="183"/>
      <c r="G95" s="183"/>
      <c r="H95" s="187"/>
      <c r="I95" s="317"/>
      <c r="J95" s="317"/>
      <c r="L95" s="38"/>
    </row>
    <row r="96" spans="1:12" ht="24.75" customHeight="1">
      <c r="A96" s="123" t="s">
        <v>28</v>
      </c>
      <c r="B96" s="112">
        <v>7</v>
      </c>
      <c r="C96" s="112">
        <v>7</v>
      </c>
      <c r="D96" s="94"/>
      <c r="E96" s="187"/>
      <c r="F96" s="183"/>
      <c r="G96" s="183"/>
      <c r="H96" s="187"/>
      <c r="I96" s="317"/>
      <c r="J96" s="317"/>
      <c r="L96" s="38"/>
    </row>
    <row r="97" spans="1:12" ht="24.75" customHeight="1">
      <c r="A97" s="123" t="s">
        <v>20</v>
      </c>
      <c r="B97" s="112">
        <v>7</v>
      </c>
      <c r="C97" s="112">
        <v>7</v>
      </c>
      <c r="D97" s="94"/>
      <c r="E97" s="187"/>
      <c r="F97" s="183"/>
      <c r="G97" s="183"/>
      <c r="H97" s="187"/>
      <c r="I97" s="317"/>
      <c r="J97" s="317"/>
      <c r="L97" s="38"/>
    </row>
    <row r="98" spans="1:10" ht="24.75" customHeight="1">
      <c r="A98" s="123" t="s">
        <v>27</v>
      </c>
      <c r="B98" s="112">
        <v>5</v>
      </c>
      <c r="C98" s="112">
        <v>5</v>
      </c>
      <c r="D98" s="112"/>
      <c r="E98" s="183"/>
      <c r="F98" s="183"/>
      <c r="G98" s="183"/>
      <c r="H98" s="187"/>
      <c r="I98" s="317"/>
      <c r="J98" s="317"/>
    </row>
    <row r="99" spans="1:10" ht="24.75" customHeight="1">
      <c r="A99" s="505" t="s">
        <v>298</v>
      </c>
      <c r="B99" s="506"/>
      <c r="C99" s="506"/>
      <c r="D99" s="506"/>
      <c r="E99" s="506"/>
      <c r="F99" s="506"/>
      <c r="G99" s="506"/>
      <c r="H99" s="506"/>
      <c r="I99" s="506"/>
      <c r="J99" s="507"/>
    </row>
    <row r="100" spans="1:10" ht="24.75" customHeight="1">
      <c r="A100" s="468" t="s">
        <v>308</v>
      </c>
      <c r="B100" s="468"/>
      <c r="C100" s="468"/>
      <c r="D100" s="143" t="s">
        <v>244</v>
      </c>
      <c r="E100" s="144">
        <v>10.5</v>
      </c>
      <c r="F100" s="144">
        <v>9.3</v>
      </c>
      <c r="G100" s="144">
        <v>6</v>
      </c>
      <c r="H100" s="152">
        <f>E100*4+F100*9+G100*4</f>
        <v>149.7</v>
      </c>
      <c r="I100" s="306">
        <v>0.42</v>
      </c>
      <c r="J100" s="306" t="s">
        <v>348</v>
      </c>
    </row>
    <row r="101" spans="1:35" s="3" customFormat="1" ht="24.75" customHeight="1">
      <c r="A101" s="234" t="s">
        <v>309</v>
      </c>
      <c r="B101" s="196">
        <f>C101*1.34</f>
        <v>138.02</v>
      </c>
      <c r="C101" s="112">
        <v>103</v>
      </c>
      <c r="D101" s="94"/>
      <c r="E101" s="187"/>
      <c r="F101" s="183"/>
      <c r="G101" s="183"/>
      <c r="H101" s="187"/>
      <c r="I101" s="317"/>
      <c r="J101" s="317"/>
      <c r="K101" s="82"/>
      <c r="L101" s="39"/>
      <c r="M101" s="106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10" ht="24.75" customHeight="1">
      <c r="A102" s="234" t="s">
        <v>241</v>
      </c>
      <c r="B102" s="196">
        <v>103</v>
      </c>
      <c r="C102" s="112">
        <v>103</v>
      </c>
      <c r="D102" s="94"/>
      <c r="E102" s="144"/>
      <c r="F102" s="144"/>
      <c r="G102" s="144"/>
      <c r="H102" s="152"/>
      <c r="I102" s="306"/>
      <c r="J102" s="306"/>
    </row>
    <row r="103" spans="1:35" s="3" customFormat="1" ht="24.75" customHeight="1">
      <c r="A103" s="123" t="s">
        <v>149</v>
      </c>
      <c r="B103" s="187">
        <v>17</v>
      </c>
      <c r="C103" s="112">
        <v>17</v>
      </c>
      <c r="D103" s="94"/>
      <c r="E103" s="144"/>
      <c r="F103" s="144"/>
      <c r="G103" s="144"/>
      <c r="H103" s="152"/>
      <c r="I103" s="306"/>
      <c r="J103" s="306"/>
      <c r="K103" s="82"/>
      <c r="L103" s="39"/>
      <c r="M103" s="106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13" ht="24.75" customHeight="1">
      <c r="A104" s="115" t="s">
        <v>29</v>
      </c>
      <c r="B104" s="112">
        <v>4</v>
      </c>
      <c r="C104" s="112">
        <v>4</v>
      </c>
      <c r="D104" s="94"/>
      <c r="E104" s="187"/>
      <c r="F104" s="183"/>
      <c r="G104" s="183"/>
      <c r="H104" s="187"/>
      <c r="I104" s="317"/>
      <c r="J104" s="317"/>
      <c r="K104" s="14"/>
      <c r="M104" s="102"/>
    </row>
    <row r="105" spans="1:13" ht="24.75" customHeight="1">
      <c r="A105" s="123" t="s">
        <v>28</v>
      </c>
      <c r="B105" s="112">
        <v>7</v>
      </c>
      <c r="C105" s="112">
        <v>7</v>
      </c>
      <c r="D105" s="94"/>
      <c r="E105" s="187"/>
      <c r="F105" s="183"/>
      <c r="G105" s="183"/>
      <c r="H105" s="187"/>
      <c r="I105" s="317"/>
      <c r="J105" s="317"/>
      <c r="K105" s="14"/>
      <c r="M105" s="102"/>
    </row>
    <row r="106" spans="1:13" ht="24.75" customHeight="1">
      <c r="A106" s="123" t="s">
        <v>25</v>
      </c>
      <c r="B106" s="140">
        <f>C106*1.25</f>
        <v>11.25</v>
      </c>
      <c r="C106" s="112">
        <v>9</v>
      </c>
      <c r="D106" s="94"/>
      <c r="E106" s="187"/>
      <c r="F106" s="183"/>
      <c r="G106" s="183"/>
      <c r="H106" s="187"/>
      <c r="I106" s="317"/>
      <c r="J106" s="317"/>
      <c r="K106" s="107"/>
      <c r="M106" s="102"/>
    </row>
    <row r="107" spans="1:13" ht="24.75" customHeight="1">
      <c r="A107" s="123" t="s">
        <v>19</v>
      </c>
      <c r="B107" s="94">
        <f>C107*1.33</f>
        <v>11.97</v>
      </c>
      <c r="C107" s="112">
        <v>9</v>
      </c>
      <c r="D107" s="94"/>
      <c r="E107" s="187"/>
      <c r="F107" s="183"/>
      <c r="G107" s="183"/>
      <c r="H107" s="187"/>
      <c r="I107" s="317"/>
      <c r="J107" s="317"/>
      <c r="K107" s="14"/>
      <c r="M107" s="102"/>
    </row>
    <row r="108" spans="1:13" ht="24.75" customHeight="1">
      <c r="A108" s="123" t="s">
        <v>110</v>
      </c>
      <c r="B108" s="112">
        <v>11</v>
      </c>
      <c r="C108" s="112">
        <v>11</v>
      </c>
      <c r="D108" s="94"/>
      <c r="E108" s="187"/>
      <c r="F108" s="183"/>
      <c r="G108" s="183"/>
      <c r="H108" s="187"/>
      <c r="I108" s="317"/>
      <c r="J108" s="317"/>
      <c r="K108" s="14"/>
      <c r="M108" s="102"/>
    </row>
    <row r="109" spans="1:13" ht="24.75" customHeight="1">
      <c r="A109" s="123" t="s">
        <v>20</v>
      </c>
      <c r="B109" s="112">
        <v>7</v>
      </c>
      <c r="C109" s="112">
        <v>7</v>
      </c>
      <c r="D109" s="94"/>
      <c r="E109" s="187"/>
      <c r="F109" s="183"/>
      <c r="G109" s="183"/>
      <c r="H109" s="187"/>
      <c r="I109" s="317"/>
      <c r="J109" s="317"/>
      <c r="K109" s="14"/>
      <c r="M109" s="102"/>
    </row>
    <row r="110" spans="1:13" ht="24.75" customHeight="1">
      <c r="A110" s="123" t="s">
        <v>27</v>
      </c>
      <c r="B110" s="112">
        <v>5</v>
      </c>
      <c r="C110" s="112">
        <v>5</v>
      </c>
      <c r="D110" s="112"/>
      <c r="E110" s="183"/>
      <c r="F110" s="183"/>
      <c r="G110" s="183"/>
      <c r="H110" s="187"/>
      <c r="I110" s="317"/>
      <c r="J110" s="317"/>
      <c r="K110" s="14"/>
      <c r="M110" s="102"/>
    </row>
    <row r="111" spans="1:13" ht="24.75" customHeight="1">
      <c r="A111" s="479" t="s">
        <v>277</v>
      </c>
      <c r="B111" s="479"/>
      <c r="C111" s="479"/>
      <c r="D111" s="41">
        <v>150</v>
      </c>
      <c r="E111" s="145">
        <v>3.1</v>
      </c>
      <c r="F111" s="145">
        <v>4.1</v>
      </c>
      <c r="G111" s="145">
        <v>15.825</v>
      </c>
      <c r="H111" s="152">
        <f>E111*4+F111*9+G111*4</f>
        <v>112.6</v>
      </c>
      <c r="I111" s="306">
        <v>9.93</v>
      </c>
      <c r="J111" s="306" t="s">
        <v>348</v>
      </c>
      <c r="K111" s="14"/>
      <c r="M111" s="102"/>
    </row>
    <row r="112" spans="1:13" ht="24.75" customHeight="1">
      <c r="A112" s="184" t="s">
        <v>21</v>
      </c>
      <c r="B112" s="187">
        <f>C112*1.33</f>
        <v>146.3</v>
      </c>
      <c r="C112" s="187">
        <v>110</v>
      </c>
      <c r="D112" s="187"/>
      <c r="E112" s="188"/>
      <c r="F112" s="188"/>
      <c r="G112" s="188"/>
      <c r="H112" s="187"/>
      <c r="I112" s="317"/>
      <c r="J112" s="317"/>
      <c r="K112" s="15"/>
      <c r="M112" s="102"/>
    </row>
    <row r="113" spans="1:13" ht="24.75" customHeight="1">
      <c r="A113" s="123" t="s">
        <v>22</v>
      </c>
      <c r="B113" s="94">
        <f>C113*1.43</f>
        <v>157.29999999999998</v>
      </c>
      <c r="C113" s="187">
        <v>110</v>
      </c>
      <c r="D113" s="94"/>
      <c r="E113" s="140"/>
      <c r="F113" s="140"/>
      <c r="G113" s="140"/>
      <c r="H113" s="94"/>
      <c r="I113" s="316"/>
      <c r="J113" s="317"/>
      <c r="K113" s="10"/>
      <c r="M113" s="102"/>
    </row>
    <row r="114" spans="1:13" ht="24.75" customHeight="1">
      <c r="A114" s="123" t="s">
        <v>23</v>
      </c>
      <c r="B114" s="94">
        <f>C114*1.54</f>
        <v>169.4</v>
      </c>
      <c r="C114" s="187">
        <v>110</v>
      </c>
      <c r="D114" s="94"/>
      <c r="E114" s="140"/>
      <c r="F114" s="140"/>
      <c r="G114" s="140"/>
      <c r="H114" s="94"/>
      <c r="I114" s="316"/>
      <c r="J114" s="317"/>
      <c r="K114" s="10"/>
      <c r="M114" s="102"/>
    </row>
    <row r="115" spans="1:13" ht="24.75" customHeight="1">
      <c r="A115" s="123" t="s">
        <v>24</v>
      </c>
      <c r="B115" s="94">
        <f>C115*1.67</f>
        <v>183.7</v>
      </c>
      <c r="C115" s="187">
        <v>110</v>
      </c>
      <c r="D115" s="94"/>
      <c r="E115" s="140"/>
      <c r="F115" s="140"/>
      <c r="G115" s="140"/>
      <c r="H115" s="94"/>
      <c r="I115" s="316"/>
      <c r="J115" s="317"/>
      <c r="K115" s="10"/>
      <c r="M115" s="102"/>
    </row>
    <row r="116" spans="1:13" ht="24.75" customHeight="1">
      <c r="A116" s="123" t="s">
        <v>27</v>
      </c>
      <c r="B116" s="94">
        <v>4</v>
      </c>
      <c r="C116" s="94">
        <v>4</v>
      </c>
      <c r="D116" s="94"/>
      <c r="E116" s="140"/>
      <c r="F116" s="140"/>
      <c r="G116" s="140"/>
      <c r="H116" s="94"/>
      <c r="I116" s="316"/>
      <c r="J116" s="317"/>
      <c r="K116" s="14"/>
      <c r="M116" s="102"/>
    </row>
    <row r="117" spans="1:13" ht="24.75" customHeight="1">
      <c r="A117" s="123" t="s">
        <v>51</v>
      </c>
      <c r="B117" s="94">
        <v>13</v>
      </c>
      <c r="C117" s="94">
        <v>12</v>
      </c>
      <c r="D117" s="94"/>
      <c r="E117" s="140"/>
      <c r="F117" s="140"/>
      <c r="G117" s="140"/>
      <c r="H117" s="94"/>
      <c r="I117" s="316"/>
      <c r="J117" s="317"/>
      <c r="K117" s="10"/>
      <c r="M117" s="102"/>
    </row>
    <row r="118" spans="1:11" ht="24.75" customHeight="1">
      <c r="A118" s="290" t="s">
        <v>223</v>
      </c>
      <c r="B118" s="187">
        <f>C118*1.05</f>
        <v>36.75</v>
      </c>
      <c r="C118" s="162">
        <v>35</v>
      </c>
      <c r="D118" s="390"/>
      <c r="E118" s="369"/>
      <c r="F118" s="151"/>
      <c r="G118" s="151"/>
      <c r="H118" s="152"/>
      <c r="I118" s="306"/>
      <c r="J118" s="306"/>
      <c r="K118" s="10"/>
    </row>
    <row r="119" spans="1:11" ht="24.75" customHeight="1">
      <c r="A119" s="430" t="s">
        <v>567</v>
      </c>
      <c r="B119" s="187">
        <f>C119*1.02</f>
        <v>35.7</v>
      </c>
      <c r="C119" s="162">
        <v>35</v>
      </c>
      <c r="D119" s="187"/>
      <c r="E119" s="151"/>
      <c r="F119" s="151"/>
      <c r="G119" s="151"/>
      <c r="H119" s="152"/>
      <c r="I119" s="306"/>
      <c r="J119" s="306"/>
      <c r="K119" s="10"/>
    </row>
    <row r="120" spans="1:11" ht="24.75" customHeight="1">
      <c r="A120" s="468" t="s">
        <v>193</v>
      </c>
      <c r="B120" s="468"/>
      <c r="C120" s="468"/>
      <c r="D120" s="151" t="s">
        <v>409</v>
      </c>
      <c r="E120" s="145">
        <v>0.2</v>
      </c>
      <c r="F120" s="145">
        <v>0</v>
      </c>
      <c r="G120" s="145">
        <v>8</v>
      </c>
      <c r="H120" s="152">
        <f>E120*4+F120*9+G120*4</f>
        <v>32.8</v>
      </c>
      <c r="I120" s="306">
        <v>0</v>
      </c>
      <c r="J120" s="306" t="s">
        <v>353</v>
      </c>
      <c r="K120" s="10"/>
    </row>
    <row r="121" spans="1:11" ht="24.75" customHeight="1">
      <c r="A121" s="115" t="s">
        <v>16</v>
      </c>
      <c r="B121" s="16">
        <v>0.4</v>
      </c>
      <c r="C121" s="16">
        <v>0.4</v>
      </c>
      <c r="D121" s="16"/>
      <c r="E121" s="50"/>
      <c r="F121" s="50"/>
      <c r="G121" s="50"/>
      <c r="H121" s="42"/>
      <c r="I121" s="307"/>
      <c r="J121" s="306"/>
      <c r="K121" s="10"/>
    </row>
    <row r="122" spans="1:11" ht="24.75" customHeight="1">
      <c r="A122" s="115" t="s">
        <v>410</v>
      </c>
      <c r="B122" s="16">
        <v>10</v>
      </c>
      <c r="C122" s="16">
        <v>10</v>
      </c>
      <c r="D122" s="16"/>
      <c r="E122" s="50"/>
      <c r="F122" s="50"/>
      <c r="G122" s="50"/>
      <c r="H122" s="42"/>
      <c r="I122" s="50"/>
      <c r="J122" s="306"/>
      <c r="K122" s="10"/>
    </row>
    <row r="123" spans="1:11" ht="24.75" customHeight="1">
      <c r="A123" s="461" t="s">
        <v>72</v>
      </c>
      <c r="B123" s="461"/>
      <c r="C123" s="461"/>
      <c r="D123" s="151">
        <v>20</v>
      </c>
      <c r="E123" s="145">
        <v>1.36</v>
      </c>
      <c r="F123" s="145">
        <v>0.24</v>
      </c>
      <c r="G123" s="145">
        <v>6.72</v>
      </c>
      <c r="H123" s="152">
        <v>34.48</v>
      </c>
      <c r="I123" s="306">
        <v>0</v>
      </c>
      <c r="J123" s="306"/>
      <c r="K123" s="10"/>
    </row>
    <row r="124" spans="1:11" ht="24.75" customHeight="1">
      <c r="A124" s="461" t="s">
        <v>258</v>
      </c>
      <c r="B124" s="461"/>
      <c r="C124" s="461"/>
      <c r="D124" s="151">
        <v>20</v>
      </c>
      <c r="E124" s="145">
        <v>1.64</v>
      </c>
      <c r="F124" s="145">
        <v>0.28</v>
      </c>
      <c r="G124" s="145">
        <v>7.6</v>
      </c>
      <c r="H124" s="152">
        <v>39.2</v>
      </c>
      <c r="I124" s="306">
        <v>0</v>
      </c>
      <c r="J124" s="306"/>
      <c r="K124" s="10"/>
    </row>
    <row r="125" spans="1:24" ht="24.75" customHeight="1">
      <c r="A125" s="466" t="s">
        <v>232</v>
      </c>
      <c r="B125" s="466"/>
      <c r="C125" s="466"/>
      <c r="D125" s="466"/>
      <c r="E125" s="466"/>
      <c r="F125" s="466"/>
      <c r="G125" s="466"/>
      <c r="H125" s="466"/>
      <c r="I125" s="466"/>
      <c r="J125" s="466"/>
      <c r="K125" s="10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11" ht="24.75" customHeight="1">
      <c r="A126" s="274" t="s">
        <v>257</v>
      </c>
      <c r="B126" s="16">
        <v>154</v>
      </c>
      <c r="C126" s="112">
        <v>150</v>
      </c>
      <c r="D126" s="41">
        <v>150</v>
      </c>
      <c r="E126" s="44">
        <v>3.2</v>
      </c>
      <c r="F126" s="44">
        <v>3.6</v>
      </c>
      <c r="G126" s="44">
        <v>6</v>
      </c>
      <c r="H126" s="45">
        <f>E126*4+F126*9+G126*4</f>
        <v>69.2</v>
      </c>
      <c r="I126" s="307">
        <v>1.02</v>
      </c>
      <c r="J126" s="306" t="s">
        <v>372</v>
      </c>
      <c r="K126" s="15"/>
    </row>
    <row r="127" spans="1:11" ht="24.75" customHeight="1">
      <c r="A127" s="478" t="s">
        <v>141</v>
      </c>
      <c r="B127" s="478"/>
      <c r="C127" s="478"/>
      <c r="D127" s="478"/>
      <c r="E127" s="217">
        <f>E29+E125+E88+E76+E31+E8</f>
        <v>68.31666666666666</v>
      </c>
      <c r="F127" s="217">
        <f>F29+F125+F88+F76+F31+F8</f>
        <v>71.95333333333333</v>
      </c>
      <c r="G127" s="216">
        <f>G29+G125+G88+G76+G31+G8</f>
        <v>322.545</v>
      </c>
      <c r="H127" s="217">
        <f>H29+H125+H88+H76+H31+H8</f>
        <v>2210.746666666667</v>
      </c>
      <c r="I127" s="318">
        <f>I29+I125+I88+I76+I31+I8</f>
        <v>65.27112587412587</v>
      </c>
      <c r="J127" s="324"/>
      <c r="K127" s="10"/>
    </row>
    <row r="128" spans="1:11" ht="24.75" customHeight="1">
      <c r="A128" s="480" t="s">
        <v>0</v>
      </c>
      <c r="B128" s="480"/>
      <c r="C128" s="480"/>
      <c r="D128" s="480"/>
      <c r="E128" s="480"/>
      <c r="F128" s="480"/>
      <c r="G128" s="480"/>
      <c r="H128" s="480"/>
      <c r="I128" s="480"/>
      <c r="J128" s="480"/>
      <c r="K128" s="58"/>
    </row>
    <row r="129" spans="1:11" ht="24.75" customHeight="1">
      <c r="A129" s="480" t="s">
        <v>33</v>
      </c>
      <c r="B129" s="480"/>
      <c r="C129" s="480"/>
      <c r="D129" s="480"/>
      <c r="E129" s="480"/>
      <c r="F129" s="480"/>
      <c r="G129" s="480"/>
      <c r="H129" s="480"/>
      <c r="I129" s="480"/>
      <c r="J129" s="480"/>
      <c r="K129" s="58"/>
    </row>
    <row r="130" spans="1:11" ht="24.75" customHeight="1">
      <c r="A130" s="455" t="s">
        <v>2</v>
      </c>
      <c r="B130" s="449" t="s">
        <v>3</v>
      </c>
      <c r="C130" s="449" t="s">
        <v>4</v>
      </c>
      <c r="D130" s="455" t="s">
        <v>5</v>
      </c>
      <c r="E130" s="455"/>
      <c r="F130" s="455"/>
      <c r="G130" s="455"/>
      <c r="H130" s="455"/>
      <c r="I130" s="455"/>
      <c r="J130" s="446" t="s">
        <v>311</v>
      </c>
      <c r="K130" s="10"/>
    </row>
    <row r="131" spans="1:11" ht="24.75" customHeight="1">
      <c r="A131" s="455"/>
      <c r="B131" s="449"/>
      <c r="C131" s="449"/>
      <c r="D131" s="449" t="s">
        <v>6</v>
      </c>
      <c r="E131" s="467" t="s">
        <v>7</v>
      </c>
      <c r="F131" s="467" t="s">
        <v>8</v>
      </c>
      <c r="G131" s="467" t="s">
        <v>9</v>
      </c>
      <c r="H131" s="453" t="s">
        <v>10</v>
      </c>
      <c r="I131" s="444" t="s">
        <v>312</v>
      </c>
      <c r="J131" s="447"/>
      <c r="K131" s="10"/>
    </row>
    <row r="132" spans="1:13" ht="24.75" customHeight="1" thickBot="1">
      <c r="A132" s="455"/>
      <c r="B132" s="449"/>
      <c r="C132" s="449"/>
      <c r="D132" s="449"/>
      <c r="E132" s="467"/>
      <c r="F132" s="467"/>
      <c r="G132" s="467"/>
      <c r="H132" s="453"/>
      <c r="I132" s="445"/>
      <c r="J132" s="448"/>
      <c r="K132" s="10"/>
      <c r="L132" s="181" t="s">
        <v>33</v>
      </c>
      <c r="M132" s="102"/>
    </row>
    <row r="133" spans="1:13" ht="24.75" customHeight="1">
      <c r="A133" s="466" t="s">
        <v>11</v>
      </c>
      <c r="B133" s="466"/>
      <c r="C133" s="466"/>
      <c r="D133" s="466"/>
      <c r="E133" s="128">
        <f>E134+E158+E161+E165+E166+E168</f>
        <v>19.029999999999998</v>
      </c>
      <c r="F133" s="128">
        <f>F134+F158+F161+F165+F166+F168</f>
        <v>22.41</v>
      </c>
      <c r="G133" s="128">
        <f>G134+G158+G161+G165+G166+G168</f>
        <v>84.8</v>
      </c>
      <c r="H133" s="116">
        <f>H134+H158+H161+H165+H166+H168</f>
        <v>617.01</v>
      </c>
      <c r="I133" s="128">
        <f>I134+I158+I161+I165+I166+I168</f>
        <v>12.78</v>
      </c>
      <c r="J133" s="159"/>
      <c r="K133" s="10"/>
      <c r="L133" s="59" t="s">
        <v>72</v>
      </c>
      <c r="M133" s="102">
        <f>D241+D286</f>
        <v>80</v>
      </c>
    </row>
    <row r="134" spans="1:13" ht="24.75" customHeight="1">
      <c r="A134" s="461" t="s">
        <v>406</v>
      </c>
      <c r="B134" s="461"/>
      <c r="C134" s="461"/>
      <c r="D134" s="151" t="s">
        <v>266</v>
      </c>
      <c r="E134" s="145">
        <v>8.6</v>
      </c>
      <c r="F134" s="145">
        <v>8.3</v>
      </c>
      <c r="G134" s="145">
        <v>27.6</v>
      </c>
      <c r="H134" s="152">
        <f>E134*4+F134*9+G134*4</f>
        <v>219.5</v>
      </c>
      <c r="I134" s="306">
        <v>0.28</v>
      </c>
      <c r="J134" s="306" t="s">
        <v>491</v>
      </c>
      <c r="K134" s="28"/>
      <c r="L134" s="35" t="s">
        <v>82</v>
      </c>
      <c r="M134" s="102">
        <f>D240+D285+B142+D166+B159+B230+B232</f>
        <v>121</v>
      </c>
    </row>
    <row r="135" spans="1:13" ht="24.75" customHeight="1">
      <c r="A135" s="114" t="s">
        <v>403</v>
      </c>
      <c r="B135" s="142">
        <v>51</v>
      </c>
      <c r="C135" s="142">
        <v>50</v>
      </c>
      <c r="D135" s="142">
        <f>C135*120/70</f>
        <v>85.71428571428571</v>
      </c>
      <c r="E135" s="142"/>
      <c r="F135" s="153"/>
      <c r="G135" s="153"/>
      <c r="H135" s="142"/>
      <c r="I135" s="306"/>
      <c r="J135" s="306"/>
      <c r="K135" s="77"/>
      <c r="L135" s="35" t="s">
        <v>83</v>
      </c>
      <c r="M135" s="102">
        <f>B245</f>
        <v>37.50000000000001</v>
      </c>
    </row>
    <row r="136" spans="1:13" ht="24.75" customHeight="1">
      <c r="A136" s="139" t="s">
        <v>34</v>
      </c>
      <c r="B136" s="142">
        <v>5</v>
      </c>
      <c r="C136" s="142">
        <v>5</v>
      </c>
      <c r="D136" s="142"/>
      <c r="E136" s="142"/>
      <c r="F136" s="142"/>
      <c r="G136" s="142"/>
      <c r="H136" s="142"/>
      <c r="I136" s="306"/>
      <c r="J136" s="306"/>
      <c r="K136" s="28"/>
      <c r="L136" s="36" t="s">
        <v>126</v>
      </c>
      <c r="M136" s="102">
        <f>B136</f>
        <v>5</v>
      </c>
    </row>
    <row r="137" spans="1:13" ht="24.75" customHeight="1">
      <c r="A137" s="139" t="s">
        <v>175</v>
      </c>
      <c r="B137" s="142">
        <v>6</v>
      </c>
      <c r="C137" s="142">
        <v>6</v>
      </c>
      <c r="D137" s="142"/>
      <c r="E137" s="142"/>
      <c r="F137" s="142"/>
      <c r="G137" s="142"/>
      <c r="H137" s="142"/>
      <c r="I137" s="306"/>
      <c r="J137" s="306"/>
      <c r="K137" s="28"/>
      <c r="L137" s="39" t="s">
        <v>330</v>
      </c>
      <c r="M137" s="102">
        <f>C235</f>
        <v>53</v>
      </c>
    </row>
    <row r="138" spans="1:35" s="3" customFormat="1" ht="24.75" customHeight="1">
      <c r="A138" s="184" t="s">
        <v>12</v>
      </c>
      <c r="B138" s="142">
        <v>4</v>
      </c>
      <c r="C138" s="142">
        <v>4</v>
      </c>
      <c r="D138" s="142"/>
      <c r="E138" s="142"/>
      <c r="F138" s="153"/>
      <c r="G138" s="153"/>
      <c r="H138" s="142"/>
      <c r="I138" s="306"/>
      <c r="J138" s="306"/>
      <c r="K138" s="78"/>
      <c r="L138" s="35" t="s">
        <v>138</v>
      </c>
      <c r="M138" s="103">
        <f>B176+B273</f>
        <v>192.95230769230767</v>
      </c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13" ht="24.75" customHeight="1">
      <c r="A139" s="115" t="s">
        <v>29</v>
      </c>
      <c r="B139" s="161">
        <v>3.5</v>
      </c>
      <c r="C139" s="161">
        <v>3.5</v>
      </c>
      <c r="D139" s="142"/>
      <c r="E139" s="142"/>
      <c r="F139" s="153"/>
      <c r="G139" s="153"/>
      <c r="H139" s="142"/>
      <c r="I139" s="306"/>
      <c r="J139" s="306"/>
      <c r="K139" s="90"/>
      <c r="L139" s="35" t="s">
        <v>84</v>
      </c>
      <c r="M139" s="103">
        <f>B182+B185+B190+B265+B268+B172+B228+B180+B183+B186+B280</f>
        <v>231.41</v>
      </c>
    </row>
    <row r="140" spans="1:13" ht="24.75" customHeight="1">
      <c r="A140" s="139" t="s">
        <v>67</v>
      </c>
      <c r="B140" s="161">
        <v>13.2</v>
      </c>
      <c r="C140" s="142">
        <v>13</v>
      </c>
      <c r="D140" s="142"/>
      <c r="E140" s="142"/>
      <c r="F140" s="161"/>
      <c r="G140" s="161"/>
      <c r="H140" s="142"/>
      <c r="I140" s="306"/>
      <c r="J140" s="306"/>
      <c r="K140" s="88"/>
      <c r="L140" s="35" t="s">
        <v>85</v>
      </c>
      <c r="M140" s="103">
        <f>B254+B267+D168</f>
        <v>237</v>
      </c>
    </row>
    <row r="141" spans="1:13" ht="24.75" customHeight="1">
      <c r="A141" s="139" t="s">
        <v>96</v>
      </c>
      <c r="B141" s="260">
        <v>0.004666666666666667</v>
      </c>
      <c r="C141" s="260">
        <v>0.004666666666666667</v>
      </c>
      <c r="D141" s="142"/>
      <c r="E141" s="142"/>
      <c r="F141" s="161"/>
      <c r="G141" s="161"/>
      <c r="H141" s="142"/>
      <c r="I141" s="306"/>
      <c r="J141" s="306"/>
      <c r="K141" s="1"/>
      <c r="L141" s="35" t="s">
        <v>127</v>
      </c>
      <c r="M141" s="103">
        <f>D258</f>
        <v>200</v>
      </c>
    </row>
    <row r="142" spans="1:13" ht="24.75" customHeight="1">
      <c r="A142" s="184" t="s">
        <v>179</v>
      </c>
      <c r="B142" s="142">
        <v>2</v>
      </c>
      <c r="C142" s="142">
        <v>2</v>
      </c>
      <c r="D142" s="142"/>
      <c r="E142" s="142"/>
      <c r="F142" s="161"/>
      <c r="G142" s="161"/>
      <c r="H142" s="142"/>
      <c r="I142" s="306"/>
      <c r="J142" s="306"/>
      <c r="K142" s="10"/>
      <c r="L142" s="35" t="s">
        <v>86</v>
      </c>
      <c r="M142" s="103">
        <f>B140+B238</f>
        <v>33.2</v>
      </c>
    </row>
    <row r="143" spans="1:13" ht="24.75" customHeight="1">
      <c r="A143" s="139" t="s">
        <v>95</v>
      </c>
      <c r="B143" s="142">
        <v>2</v>
      </c>
      <c r="C143" s="142">
        <v>2</v>
      </c>
      <c r="D143" s="142"/>
      <c r="E143" s="142"/>
      <c r="F143" s="161"/>
      <c r="G143" s="161"/>
      <c r="H143" s="142"/>
      <c r="I143" s="306"/>
      <c r="J143" s="306"/>
      <c r="K143" s="10"/>
      <c r="L143" s="35" t="s">
        <v>87</v>
      </c>
      <c r="M143" s="103">
        <f>B138+B163+B247+B255+B284+C239+B187</f>
        <v>57.900000000000006</v>
      </c>
    </row>
    <row r="144" spans="1:12" ht="24.75" customHeight="1">
      <c r="A144" s="171" t="s">
        <v>178</v>
      </c>
      <c r="B144" s="161">
        <v>3.5</v>
      </c>
      <c r="C144" s="161">
        <v>3.5</v>
      </c>
      <c r="D144" s="142"/>
      <c r="E144" s="142"/>
      <c r="F144" s="161"/>
      <c r="G144" s="161"/>
      <c r="H144" s="142"/>
      <c r="I144" s="306"/>
      <c r="J144" s="306"/>
      <c r="K144" s="10"/>
      <c r="L144" s="240" t="s">
        <v>207</v>
      </c>
    </row>
    <row r="145" spans="1:13" ht="24.75" customHeight="1">
      <c r="A145" s="115" t="s">
        <v>405</v>
      </c>
      <c r="B145" s="42">
        <v>30</v>
      </c>
      <c r="C145" s="42">
        <v>30</v>
      </c>
      <c r="D145" s="142"/>
      <c r="E145" s="142"/>
      <c r="F145" s="161"/>
      <c r="G145" s="161"/>
      <c r="H145" s="142"/>
      <c r="I145" s="306"/>
      <c r="J145" s="306"/>
      <c r="K145" s="10"/>
      <c r="L145" s="35" t="s">
        <v>128</v>
      </c>
      <c r="M145" s="103">
        <f>B162</f>
        <v>2</v>
      </c>
    </row>
    <row r="146" spans="1:13" ht="24.75" customHeight="1">
      <c r="A146" s="511" t="s">
        <v>259</v>
      </c>
      <c r="B146" s="512"/>
      <c r="C146" s="512"/>
      <c r="D146" s="512"/>
      <c r="E146" s="512"/>
      <c r="F146" s="512"/>
      <c r="G146" s="512"/>
      <c r="H146" s="512"/>
      <c r="I146" s="512"/>
      <c r="J146" s="513"/>
      <c r="K146" s="10"/>
      <c r="L146" s="35" t="s">
        <v>88</v>
      </c>
      <c r="M146" s="103"/>
    </row>
    <row r="147" spans="1:13" ht="24.75" customHeight="1">
      <c r="A147" s="525" t="s">
        <v>532</v>
      </c>
      <c r="B147" s="525"/>
      <c r="C147" s="525"/>
      <c r="D147" s="41" t="s">
        <v>266</v>
      </c>
      <c r="E147" s="96">
        <v>9.2</v>
      </c>
      <c r="F147" s="96">
        <v>9.5</v>
      </c>
      <c r="G147" s="96">
        <v>29.1</v>
      </c>
      <c r="H147" s="97">
        <f>G147*4+F147*9+E147*4</f>
        <v>238.7</v>
      </c>
      <c r="I147" s="306">
        <v>0.28</v>
      </c>
      <c r="J147" s="363" t="s">
        <v>533</v>
      </c>
      <c r="K147" s="10"/>
      <c r="L147" s="35" t="s">
        <v>129</v>
      </c>
      <c r="M147" s="103">
        <f>B226</f>
        <v>90.86</v>
      </c>
    </row>
    <row r="148" spans="1:13" ht="24.75" customHeight="1">
      <c r="A148" s="114" t="s">
        <v>403</v>
      </c>
      <c r="B148" s="232">
        <v>62</v>
      </c>
      <c r="C148" s="232">
        <v>61</v>
      </c>
      <c r="D148" s="42"/>
      <c r="E148" s="42"/>
      <c r="F148" s="16"/>
      <c r="G148" s="16"/>
      <c r="H148" s="16"/>
      <c r="I148" s="306"/>
      <c r="J148" s="306"/>
      <c r="K148" s="10"/>
      <c r="L148" s="240" t="s">
        <v>208</v>
      </c>
      <c r="M148" s="106">
        <f>B175</f>
        <v>16</v>
      </c>
    </row>
    <row r="149" spans="1:13" ht="24.75" customHeight="1">
      <c r="A149" s="156" t="s">
        <v>34</v>
      </c>
      <c r="B149" s="232">
        <v>5</v>
      </c>
      <c r="C149" s="232">
        <v>5</v>
      </c>
      <c r="D149" s="42"/>
      <c r="E149" s="42"/>
      <c r="F149" s="42"/>
      <c r="G149" s="42"/>
      <c r="H149" s="16"/>
      <c r="I149" s="306"/>
      <c r="J149" s="306"/>
      <c r="K149" s="10"/>
      <c r="L149" s="35" t="s">
        <v>89</v>
      </c>
      <c r="M149" s="103">
        <f>B261</f>
        <v>63</v>
      </c>
    </row>
    <row r="150" spans="1:13" ht="24.75" customHeight="1">
      <c r="A150" s="156" t="s">
        <v>110</v>
      </c>
      <c r="B150" s="232">
        <v>9</v>
      </c>
      <c r="C150" s="232">
        <v>9</v>
      </c>
      <c r="D150" s="42"/>
      <c r="E150" s="42"/>
      <c r="F150" s="16"/>
      <c r="G150" s="16"/>
      <c r="H150" s="16"/>
      <c r="I150" s="306"/>
      <c r="J150" s="306"/>
      <c r="K150" s="10"/>
      <c r="L150" s="35" t="s">
        <v>130</v>
      </c>
      <c r="M150" s="103">
        <f>B270</f>
        <v>87</v>
      </c>
    </row>
    <row r="151" spans="1:24" ht="24.75" customHeight="1">
      <c r="A151" s="139" t="s">
        <v>12</v>
      </c>
      <c r="B151" s="142">
        <v>5</v>
      </c>
      <c r="C151" s="142">
        <v>5</v>
      </c>
      <c r="D151" s="42"/>
      <c r="E151" s="142"/>
      <c r="F151" s="153"/>
      <c r="G151" s="153"/>
      <c r="H151" s="153"/>
      <c r="I151" s="306"/>
      <c r="J151" s="306"/>
      <c r="K151" s="10"/>
      <c r="L151" s="36" t="s">
        <v>131</v>
      </c>
      <c r="M151" s="103">
        <f>B246+B277+B231+B164+B145+B289</f>
        <v>381</v>
      </c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</row>
    <row r="152" spans="1:13" ht="24.75" customHeight="1">
      <c r="A152" s="139" t="s">
        <v>150</v>
      </c>
      <c r="B152" s="161">
        <v>0.4</v>
      </c>
      <c r="C152" s="161">
        <v>0.4</v>
      </c>
      <c r="D152" s="364"/>
      <c r="E152" s="142"/>
      <c r="F152" s="153"/>
      <c r="G152" s="153"/>
      <c r="H152" s="153"/>
      <c r="I152" s="306"/>
      <c r="J152" s="306"/>
      <c r="K152" s="10"/>
      <c r="L152" s="39" t="s">
        <v>331</v>
      </c>
      <c r="M152" s="106">
        <f>D165+B288</f>
        <v>90</v>
      </c>
    </row>
    <row r="153" spans="1:13" ht="24.75" customHeight="1">
      <c r="A153" s="156" t="s">
        <v>29</v>
      </c>
      <c r="B153" s="232">
        <v>3</v>
      </c>
      <c r="C153" s="232">
        <v>3</v>
      </c>
      <c r="D153" s="42"/>
      <c r="E153" s="42"/>
      <c r="F153" s="157"/>
      <c r="G153" s="157"/>
      <c r="H153" s="157"/>
      <c r="I153" s="306"/>
      <c r="J153" s="306"/>
      <c r="K153" s="10"/>
      <c r="L153" s="35" t="s">
        <v>90</v>
      </c>
      <c r="M153" s="103">
        <f>B135</f>
        <v>51</v>
      </c>
    </row>
    <row r="154" spans="1:13" ht="24.75" customHeight="1">
      <c r="A154" s="115" t="s">
        <v>67</v>
      </c>
      <c r="B154" s="231">
        <v>13.2</v>
      </c>
      <c r="C154" s="232">
        <v>13</v>
      </c>
      <c r="D154" s="42"/>
      <c r="E154" s="42"/>
      <c r="F154" s="157"/>
      <c r="G154" s="157"/>
      <c r="H154" s="157"/>
      <c r="I154" s="306"/>
      <c r="J154" s="306"/>
      <c r="K154" s="10"/>
      <c r="L154" s="35" t="s">
        <v>91</v>
      </c>
      <c r="M154" s="103">
        <f>B143+C189</f>
        <v>7</v>
      </c>
    </row>
    <row r="155" spans="1:13" ht="24.75" customHeight="1">
      <c r="A155" s="139" t="s">
        <v>95</v>
      </c>
      <c r="B155" s="161">
        <v>3.5</v>
      </c>
      <c r="C155" s="161">
        <v>3.5</v>
      </c>
      <c r="D155" s="42"/>
      <c r="E155" s="142"/>
      <c r="F155" s="153"/>
      <c r="G155" s="153"/>
      <c r="H155" s="153"/>
      <c r="I155" s="306"/>
      <c r="J155" s="306"/>
      <c r="K155" s="10"/>
      <c r="L155" s="35" t="s">
        <v>134</v>
      </c>
      <c r="M155" s="101"/>
    </row>
    <row r="156" spans="1:13" ht="24.75" customHeight="1">
      <c r="A156" s="171" t="s">
        <v>178</v>
      </c>
      <c r="B156" s="161">
        <v>3.5</v>
      </c>
      <c r="C156" s="161">
        <v>3.5</v>
      </c>
      <c r="D156" s="50"/>
      <c r="E156" s="42"/>
      <c r="F156" s="157"/>
      <c r="G156" s="157"/>
      <c r="H156" s="157"/>
      <c r="I156" s="306"/>
      <c r="J156" s="306"/>
      <c r="K156" s="10"/>
      <c r="L156" s="35" t="s">
        <v>92</v>
      </c>
      <c r="M156" s="101">
        <f>B144+B188+B248+B278+B271+B236+B160</f>
        <v>37.5</v>
      </c>
    </row>
    <row r="157" spans="1:13" ht="24.75" customHeight="1">
      <c r="A157" s="156" t="s">
        <v>405</v>
      </c>
      <c r="B157" s="157">
        <v>30</v>
      </c>
      <c r="C157" s="157">
        <v>30</v>
      </c>
      <c r="D157" s="16"/>
      <c r="E157" s="16"/>
      <c r="F157" s="157"/>
      <c r="G157" s="157"/>
      <c r="H157" s="157"/>
      <c r="I157" s="306"/>
      <c r="J157" s="306"/>
      <c r="K157" s="10"/>
      <c r="L157" s="35" t="s">
        <v>65</v>
      </c>
      <c r="M157" s="101">
        <f>C173+B233+B257</f>
        <v>8.5</v>
      </c>
    </row>
    <row r="158" spans="1:13" ht="24.75" customHeight="1" thickBot="1">
      <c r="A158" s="49" t="s">
        <v>354</v>
      </c>
      <c r="B158" s="41"/>
      <c r="C158" s="41"/>
      <c r="D158" s="80" t="s">
        <v>333</v>
      </c>
      <c r="E158" s="145">
        <v>1.6</v>
      </c>
      <c r="F158" s="145">
        <v>8.7</v>
      </c>
      <c r="G158" s="145">
        <v>9.9</v>
      </c>
      <c r="H158" s="152">
        <f>E158*4+F158*9+G158*4</f>
        <v>124.30000000000001</v>
      </c>
      <c r="I158" s="306">
        <v>0</v>
      </c>
      <c r="J158" s="306" t="s">
        <v>357</v>
      </c>
      <c r="K158" s="10"/>
      <c r="L158" s="37" t="s">
        <v>93</v>
      </c>
      <c r="M158" s="101">
        <f>B139+B249+B256+B229</f>
        <v>18</v>
      </c>
    </row>
    <row r="159" spans="1:13" ht="24.75" customHeight="1">
      <c r="A159" s="172" t="s">
        <v>356</v>
      </c>
      <c r="B159" s="16">
        <v>20</v>
      </c>
      <c r="C159" s="16">
        <v>20</v>
      </c>
      <c r="D159" s="16"/>
      <c r="E159" s="50"/>
      <c r="F159" s="50"/>
      <c r="G159" s="50"/>
      <c r="H159" s="42"/>
      <c r="I159" s="306"/>
      <c r="J159" s="306"/>
      <c r="K159" s="10"/>
      <c r="L159" s="39" t="s">
        <v>209</v>
      </c>
      <c r="M159" s="105"/>
    </row>
    <row r="160" spans="1:13" ht="24.75" customHeight="1">
      <c r="A160" s="172" t="s">
        <v>355</v>
      </c>
      <c r="B160" s="16">
        <v>10</v>
      </c>
      <c r="C160" s="16">
        <v>10</v>
      </c>
      <c r="D160" s="16"/>
      <c r="E160" s="50"/>
      <c r="F160" s="50"/>
      <c r="G160" s="50"/>
      <c r="H160" s="45"/>
      <c r="I160" s="306"/>
      <c r="J160" s="306"/>
      <c r="K160" s="10"/>
      <c r="L160" s="245" t="s">
        <v>219</v>
      </c>
      <c r="M160" s="105">
        <f>B251</f>
        <v>0.36</v>
      </c>
    </row>
    <row r="161" spans="1:11" ht="24.75" customHeight="1">
      <c r="A161" s="461" t="s">
        <v>152</v>
      </c>
      <c r="B161" s="461"/>
      <c r="C161" s="461"/>
      <c r="D161" s="151">
        <v>200</v>
      </c>
      <c r="E161" s="151">
        <v>3.9</v>
      </c>
      <c r="F161" s="151">
        <v>2.5</v>
      </c>
      <c r="G161" s="145">
        <v>18</v>
      </c>
      <c r="H161" s="152">
        <f>E161*4+F161*9+G161*4</f>
        <v>110.1</v>
      </c>
      <c r="I161" s="306">
        <v>0.5</v>
      </c>
      <c r="J161" s="306" t="s">
        <v>362</v>
      </c>
      <c r="K161" s="83"/>
    </row>
    <row r="162" spans="1:11" ht="24.75" customHeight="1">
      <c r="A162" s="184" t="s">
        <v>181</v>
      </c>
      <c r="B162" s="183">
        <v>2</v>
      </c>
      <c r="C162" s="183">
        <v>2</v>
      </c>
      <c r="D162" s="183"/>
      <c r="E162" s="151"/>
      <c r="F162" s="151"/>
      <c r="G162" s="145"/>
      <c r="H162" s="45"/>
      <c r="I162" s="307"/>
      <c r="J162" s="306"/>
      <c r="K162" s="83"/>
    </row>
    <row r="163" spans="1:11" ht="24.75" customHeight="1">
      <c r="A163" s="139" t="s">
        <v>12</v>
      </c>
      <c r="B163" s="153">
        <v>15</v>
      </c>
      <c r="C163" s="153">
        <v>15</v>
      </c>
      <c r="D163" s="153"/>
      <c r="E163" s="161"/>
      <c r="F163" s="161"/>
      <c r="G163" s="161"/>
      <c r="H163" s="142"/>
      <c r="I163" s="306"/>
      <c r="J163" s="306"/>
      <c r="K163" s="83"/>
    </row>
    <row r="164" spans="1:92" ht="24.75" customHeight="1">
      <c r="A164" s="184" t="s">
        <v>149</v>
      </c>
      <c r="B164" s="183">
        <v>100</v>
      </c>
      <c r="C164" s="183">
        <v>100</v>
      </c>
      <c r="D164" s="183"/>
      <c r="E164" s="183"/>
      <c r="F164" s="183"/>
      <c r="G164" s="183"/>
      <c r="H164" s="183"/>
      <c r="I164" s="183"/>
      <c r="J164" s="317"/>
      <c r="K164" s="83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  <c r="BZ164" s="198"/>
      <c r="CA164" s="198"/>
      <c r="CB164" s="198"/>
      <c r="CC164" s="198"/>
      <c r="CD164" s="198"/>
      <c r="CE164" s="198"/>
      <c r="CF164" s="198"/>
      <c r="CG164" s="198"/>
      <c r="CH164" s="198"/>
      <c r="CI164" s="198"/>
      <c r="CJ164" s="198"/>
      <c r="CK164" s="198"/>
      <c r="CL164" s="198"/>
      <c r="CM164" s="198"/>
      <c r="CN164" s="198"/>
    </row>
    <row r="165" spans="1:11" ht="37.5" customHeight="1">
      <c r="A165" s="508" t="s">
        <v>563</v>
      </c>
      <c r="B165" s="509"/>
      <c r="C165" s="510"/>
      <c r="D165" s="95">
        <v>90</v>
      </c>
      <c r="E165" s="145">
        <v>3.3</v>
      </c>
      <c r="F165" s="145">
        <v>2.7</v>
      </c>
      <c r="G165" s="145">
        <v>5.6</v>
      </c>
      <c r="H165" s="152">
        <f>G165*4+F165*9+E165*4</f>
        <v>59.900000000000006</v>
      </c>
      <c r="I165" s="317"/>
      <c r="J165" s="317"/>
      <c r="K165" s="83"/>
    </row>
    <row r="166" spans="1:11" ht="36.75" customHeight="1">
      <c r="A166" s="461" t="s">
        <v>258</v>
      </c>
      <c r="B166" s="461"/>
      <c r="C166" s="461"/>
      <c r="D166" s="151">
        <v>15</v>
      </c>
      <c r="E166" s="145">
        <v>1.23</v>
      </c>
      <c r="F166" s="145">
        <v>0.21000000000000002</v>
      </c>
      <c r="G166" s="145">
        <v>5.7</v>
      </c>
      <c r="H166" s="152">
        <v>29.610000000000003</v>
      </c>
      <c r="I166" s="306">
        <v>0</v>
      </c>
      <c r="J166" s="306"/>
      <c r="K166" s="83"/>
    </row>
    <row r="167" spans="1:11" ht="43.5" customHeight="1">
      <c r="A167" s="450" t="s">
        <v>151</v>
      </c>
      <c r="B167" s="451"/>
      <c r="C167" s="451"/>
      <c r="D167" s="451"/>
      <c r="E167" s="451"/>
      <c r="F167" s="451"/>
      <c r="G167" s="451"/>
      <c r="H167" s="451"/>
      <c r="I167" s="451"/>
      <c r="J167" s="452"/>
      <c r="K167" s="83"/>
    </row>
    <row r="168" spans="1:11" ht="37.5" customHeight="1">
      <c r="A168" s="472" t="s">
        <v>345</v>
      </c>
      <c r="B168" s="472"/>
      <c r="C168" s="472"/>
      <c r="D168" s="143">
        <v>180</v>
      </c>
      <c r="E168" s="145">
        <v>0.4</v>
      </c>
      <c r="F168" s="144">
        <v>0</v>
      </c>
      <c r="G168" s="145">
        <v>18</v>
      </c>
      <c r="H168" s="152">
        <f>E168*4+F168*9+G168*4</f>
        <v>73.6</v>
      </c>
      <c r="I168" s="306">
        <v>12</v>
      </c>
      <c r="J168" s="306"/>
      <c r="K168" s="83"/>
    </row>
    <row r="169" spans="1:11" ht="24.75" customHeight="1">
      <c r="A169" s="469" t="s">
        <v>18</v>
      </c>
      <c r="B169" s="470"/>
      <c r="C169" s="470"/>
      <c r="D169" s="471"/>
      <c r="E169" s="128">
        <f>E170+E174+E224+E234+E237+E240+E241</f>
        <v>24.729999999999997</v>
      </c>
      <c r="F169" s="128">
        <f>F170+F174+F224+F234+F237+F240+F241</f>
        <v>21.96</v>
      </c>
      <c r="G169" s="128">
        <f>G170+G174+G224+G234+G237+G240+G241</f>
        <v>113.03999999999999</v>
      </c>
      <c r="H169" s="116">
        <f>H170+H174+H224+H234+H237+H240+H241</f>
        <v>747.78</v>
      </c>
      <c r="I169" s="128">
        <f>I170+I174+I224+I234+I237+I240+I241</f>
        <v>39.93</v>
      </c>
      <c r="J169" s="159"/>
      <c r="K169" s="83"/>
    </row>
    <row r="170" spans="1:11" ht="24.75" customHeight="1">
      <c r="A170" s="487" t="s">
        <v>547</v>
      </c>
      <c r="B170" s="488"/>
      <c r="C170" s="489"/>
      <c r="D170" s="51">
        <v>70</v>
      </c>
      <c r="E170" s="220">
        <v>0.8</v>
      </c>
      <c r="F170" s="220">
        <v>4.1</v>
      </c>
      <c r="G170" s="145">
        <v>2.6</v>
      </c>
      <c r="H170" s="152">
        <f>E170*4+F170*9+G170*4</f>
        <v>50.5</v>
      </c>
      <c r="I170" s="145">
        <v>17.2</v>
      </c>
      <c r="J170" s="306" t="s">
        <v>411</v>
      </c>
      <c r="K170" s="83"/>
    </row>
    <row r="171" spans="1:11" ht="24.75" customHeight="1">
      <c r="A171" s="115" t="s">
        <v>289</v>
      </c>
      <c r="B171" s="42">
        <f>C171*1.18</f>
        <v>79.06</v>
      </c>
      <c r="C171" s="16">
        <v>67</v>
      </c>
      <c r="D171" s="375"/>
      <c r="E171" s="376"/>
      <c r="F171" s="376"/>
      <c r="G171" s="376"/>
      <c r="H171" s="403"/>
      <c r="I171" s="128"/>
      <c r="J171" s="159"/>
      <c r="K171" s="83"/>
    </row>
    <row r="172" spans="1:11" ht="24.75" customHeight="1">
      <c r="A172" s="115" t="s">
        <v>222</v>
      </c>
      <c r="B172" s="42">
        <f>C172*1.02</f>
        <v>68.34</v>
      </c>
      <c r="C172" s="16">
        <v>67</v>
      </c>
      <c r="D172" s="375"/>
      <c r="E172" s="376"/>
      <c r="F172" s="377"/>
      <c r="G172" s="377"/>
      <c r="H172" s="378"/>
      <c r="I172" s="128"/>
      <c r="J172" s="159"/>
      <c r="K172" s="83"/>
    </row>
    <row r="173" spans="1:11" ht="24.75" customHeight="1">
      <c r="A173" s="115" t="s">
        <v>20</v>
      </c>
      <c r="B173" s="16">
        <v>4</v>
      </c>
      <c r="C173" s="16">
        <v>4</v>
      </c>
      <c r="D173" s="375"/>
      <c r="E173" s="376"/>
      <c r="F173" s="377"/>
      <c r="G173" s="377"/>
      <c r="H173" s="378"/>
      <c r="I173" s="128"/>
      <c r="J173" s="159"/>
      <c r="K173" s="83"/>
    </row>
    <row r="174" spans="1:11" ht="24.75" customHeight="1">
      <c r="A174" s="479" t="s">
        <v>564</v>
      </c>
      <c r="B174" s="479"/>
      <c r="C174" s="479"/>
      <c r="D174" s="151" t="s">
        <v>275</v>
      </c>
      <c r="E174" s="145">
        <v>4.27</v>
      </c>
      <c r="F174" s="145">
        <v>5.24</v>
      </c>
      <c r="G174" s="145">
        <v>10</v>
      </c>
      <c r="H174" s="152">
        <v>104</v>
      </c>
      <c r="I174" s="306">
        <v>22.3</v>
      </c>
      <c r="J174" s="306" t="s">
        <v>541</v>
      </c>
      <c r="K174" s="83"/>
    </row>
    <row r="175" spans="1:11" ht="24.75" customHeight="1">
      <c r="A175" s="172" t="s">
        <v>565</v>
      </c>
      <c r="B175" s="337">
        <v>16</v>
      </c>
      <c r="C175" s="337">
        <v>14</v>
      </c>
      <c r="D175" s="151"/>
      <c r="E175" s="145"/>
      <c r="F175" s="145"/>
      <c r="G175" s="145"/>
      <c r="H175" s="152"/>
      <c r="I175" s="306"/>
      <c r="J175" s="306"/>
      <c r="K175" s="83"/>
    </row>
    <row r="176" spans="1:11" ht="24.75" customHeight="1">
      <c r="A176" s="184" t="s">
        <v>21</v>
      </c>
      <c r="B176" s="187">
        <f>C176*1.33</f>
        <v>22.61</v>
      </c>
      <c r="C176" s="183">
        <v>17</v>
      </c>
      <c r="D176" s="142"/>
      <c r="E176" s="161"/>
      <c r="F176" s="161"/>
      <c r="G176" s="161"/>
      <c r="H176" s="142"/>
      <c r="I176" s="306"/>
      <c r="J176" s="306"/>
      <c r="K176" s="83"/>
    </row>
    <row r="177" spans="1:11" ht="24.75" customHeight="1">
      <c r="A177" s="123" t="s">
        <v>22</v>
      </c>
      <c r="B177" s="94">
        <f>C177*1.43</f>
        <v>24.31</v>
      </c>
      <c r="C177" s="183">
        <v>17</v>
      </c>
      <c r="D177" s="142"/>
      <c r="E177" s="50"/>
      <c r="F177" s="50"/>
      <c r="G177" s="50"/>
      <c r="H177" s="50"/>
      <c r="I177" s="50"/>
      <c r="J177" s="306"/>
      <c r="K177" s="83"/>
    </row>
    <row r="178" spans="1:13" ht="24.75" customHeight="1">
      <c r="A178" s="123" t="s">
        <v>23</v>
      </c>
      <c r="B178" s="94">
        <f>C178*1.54</f>
        <v>26.18</v>
      </c>
      <c r="C178" s="183">
        <v>17</v>
      </c>
      <c r="D178" s="142"/>
      <c r="E178" s="50"/>
      <c r="F178" s="50"/>
      <c r="G178" s="50"/>
      <c r="H178" s="42"/>
      <c r="I178" s="307"/>
      <c r="J178" s="306"/>
      <c r="K178" s="14"/>
      <c r="M178" s="102"/>
    </row>
    <row r="179" spans="1:13" ht="24.75" customHeight="1">
      <c r="A179" s="123" t="s">
        <v>24</v>
      </c>
      <c r="B179" s="94">
        <f>C179*1.67</f>
        <v>28.39</v>
      </c>
      <c r="C179" s="183">
        <v>17</v>
      </c>
      <c r="D179" s="142"/>
      <c r="E179" s="50"/>
      <c r="F179" s="50"/>
      <c r="G179" s="50"/>
      <c r="H179" s="42"/>
      <c r="I179" s="307"/>
      <c r="J179" s="306"/>
      <c r="K179" s="83"/>
      <c r="M179" s="102"/>
    </row>
    <row r="180" spans="1:13" ht="24.75" customHeight="1">
      <c r="A180" s="115" t="s">
        <v>53</v>
      </c>
      <c r="B180" s="16">
        <f>C180*1.25</f>
        <v>50</v>
      </c>
      <c r="C180" s="16">
        <v>40</v>
      </c>
      <c r="D180" s="142"/>
      <c r="E180" s="50"/>
      <c r="F180" s="50"/>
      <c r="G180" s="50"/>
      <c r="H180" s="50"/>
      <c r="I180" s="383"/>
      <c r="J180" s="392"/>
      <c r="K180" s="83"/>
      <c r="M180" s="102"/>
    </row>
    <row r="181" spans="1:13" ht="24.75" customHeight="1">
      <c r="A181" s="115" t="s">
        <v>19</v>
      </c>
      <c r="B181" s="42">
        <f>C181*1.33</f>
        <v>53.2</v>
      </c>
      <c r="C181" s="16">
        <v>40</v>
      </c>
      <c r="D181" s="142"/>
      <c r="E181" s="50"/>
      <c r="F181" s="50"/>
      <c r="G181" s="50"/>
      <c r="H181" s="42"/>
      <c r="I181" s="385"/>
      <c r="J181" s="392"/>
      <c r="K181" s="83"/>
      <c r="M181" s="102"/>
    </row>
    <row r="182" spans="1:13" ht="24.75" customHeight="1">
      <c r="A182" s="115" t="s">
        <v>46</v>
      </c>
      <c r="B182" s="16">
        <f>C182*1.25</f>
        <v>25</v>
      </c>
      <c r="C182" s="16">
        <v>20</v>
      </c>
      <c r="D182" s="142"/>
      <c r="E182" s="50"/>
      <c r="F182" s="50"/>
      <c r="G182" s="50"/>
      <c r="H182" s="42"/>
      <c r="I182" s="385"/>
      <c r="J182" s="385"/>
      <c r="K182" s="83"/>
      <c r="M182" s="102"/>
    </row>
    <row r="183" spans="1:13" ht="24.75" customHeight="1">
      <c r="A183" s="115" t="s">
        <v>25</v>
      </c>
      <c r="B183" s="42">
        <f>C183*1.25</f>
        <v>16.25</v>
      </c>
      <c r="C183" s="16">
        <v>13</v>
      </c>
      <c r="D183" s="142"/>
      <c r="E183" s="50"/>
      <c r="F183" s="50"/>
      <c r="G183" s="50"/>
      <c r="H183" s="42"/>
      <c r="I183" s="385"/>
      <c r="J183" s="385"/>
      <c r="K183" s="15"/>
      <c r="M183" s="102"/>
    </row>
    <row r="184" spans="1:13" ht="24.75" customHeight="1">
      <c r="A184" s="115" t="s">
        <v>19</v>
      </c>
      <c r="B184" s="42">
        <f>C184*1.33</f>
        <v>17.29</v>
      </c>
      <c r="C184" s="16">
        <v>13</v>
      </c>
      <c r="D184" s="142"/>
      <c r="E184" s="50"/>
      <c r="F184" s="50"/>
      <c r="G184" s="50"/>
      <c r="H184" s="42"/>
      <c r="I184" s="385"/>
      <c r="J184" s="385"/>
      <c r="M184" s="102"/>
    </row>
    <row r="185" spans="1:13" ht="24.75" customHeight="1">
      <c r="A185" s="123" t="s">
        <v>26</v>
      </c>
      <c r="B185" s="94">
        <f>C185*1.19</f>
        <v>11.899999999999999</v>
      </c>
      <c r="C185" s="112">
        <v>10</v>
      </c>
      <c r="D185" s="142"/>
      <c r="E185" s="50"/>
      <c r="F185" s="50"/>
      <c r="G185" s="50"/>
      <c r="H185" s="42"/>
      <c r="I185" s="307"/>
      <c r="J185" s="306"/>
      <c r="K185" s="1"/>
      <c r="M185" s="102"/>
    </row>
    <row r="186" spans="1:13" ht="24.75" customHeight="1">
      <c r="A186" s="172" t="s">
        <v>421</v>
      </c>
      <c r="B186" s="16">
        <v>2</v>
      </c>
      <c r="C186" s="16">
        <v>2</v>
      </c>
      <c r="D186" s="142"/>
      <c r="E186" s="50"/>
      <c r="F186" s="50"/>
      <c r="G186" s="50"/>
      <c r="H186" s="42"/>
      <c r="I186" s="385"/>
      <c r="J186" s="385"/>
      <c r="K186" s="100"/>
      <c r="M186" s="102"/>
    </row>
    <row r="187" spans="1:13" ht="24.75" customHeight="1">
      <c r="A187" s="172" t="s">
        <v>12</v>
      </c>
      <c r="B187" s="16">
        <v>1.2</v>
      </c>
      <c r="C187" s="16">
        <v>1.2</v>
      </c>
      <c r="D187" s="142"/>
      <c r="E187" s="50"/>
      <c r="F187" s="50"/>
      <c r="G187" s="50"/>
      <c r="H187" s="42"/>
      <c r="I187" s="385"/>
      <c r="J187" s="385"/>
      <c r="K187" s="100"/>
      <c r="M187" s="102"/>
    </row>
    <row r="188" spans="1:13" ht="24.75" customHeight="1">
      <c r="A188" s="115" t="s">
        <v>27</v>
      </c>
      <c r="B188" s="112">
        <v>6</v>
      </c>
      <c r="C188" s="112">
        <v>6</v>
      </c>
      <c r="D188" s="142"/>
      <c r="E188" s="50"/>
      <c r="F188" s="50"/>
      <c r="G188" s="50"/>
      <c r="H188" s="42"/>
      <c r="I188" s="307"/>
      <c r="J188" s="306"/>
      <c r="K188" s="100"/>
      <c r="M188" s="102"/>
    </row>
    <row r="189" spans="1:13" ht="24.75" customHeight="1">
      <c r="A189" s="115" t="s">
        <v>95</v>
      </c>
      <c r="B189" s="112">
        <v>5</v>
      </c>
      <c r="C189" s="112">
        <v>5</v>
      </c>
      <c r="D189" s="142"/>
      <c r="E189" s="50"/>
      <c r="F189" s="50"/>
      <c r="G189" s="50"/>
      <c r="H189" s="42"/>
      <c r="I189" s="307"/>
      <c r="J189" s="306"/>
      <c r="K189" s="1"/>
      <c r="M189" s="102"/>
    </row>
    <row r="190" spans="1:13" ht="24.75" customHeight="1">
      <c r="A190" s="123" t="s">
        <v>70</v>
      </c>
      <c r="B190" s="94">
        <v>2</v>
      </c>
      <c r="C190" s="112">
        <v>1</v>
      </c>
      <c r="D190" s="42"/>
      <c r="E190" s="50"/>
      <c r="F190" s="50"/>
      <c r="G190" s="50"/>
      <c r="H190" s="42"/>
      <c r="I190" s="307"/>
      <c r="J190" s="306"/>
      <c r="K190" s="10"/>
      <c r="M190" s="102"/>
    </row>
    <row r="191" spans="1:13" ht="24.75" customHeight="1">
      <c r="A191" s="456" t="s">
        <v>259</v>
      </c>
      <c r="B191" s="457"/>
      <c r="C191" s="457"/>
      <c r="D191" s="457"/>
      <c r="E191" s="457"/>
      <c r="F191" s="457"/>
      <c r="G191" s="457"/>
      <c r="H191" s="457"/>
      <c r="I191" s="457"/>
      <c r="J191" s="458"/>
      <c r="K191" s="14"/>
      <c r="M191" s="102"/>
    </row>
    <row r="192" spans="1:13" ht="24.75" customHeight="1">
      <c r="A192" s="501" t="s">
        <v>566</v>
      </c>
      <c r="B192" s="501"/>
      <c r="C192" s="501"/>
      <c r="D192" s="51" t="s">
        <v>275</v>
      </c>
      <c r="E192" s="144">
        <v>5.27</v>
      </c>
      <c r="F192" s="144">
        <v>5.14</v>
      </c>
      <c r="G192" s="144">
        <v>7.3</v>
      </c>
      <c r="H192" s="152">
        <f>E192*4+F192*9+G192*4</f>
        <v>96.54</v>
      </c>
      <c r="I192" s="306">
        <v>9.3</v>
      </c>
      <c r="J192" s="306" t="s">
        <v>486</v>
      </c>
      <c r="K192" s="14"/>
      <c r="M192" s="102"/>
    </row>
    <row r="193" spans="1:13" ht="24.75" customHeight="1">
      <c r="A193" s="433" t="s">
        <v>52</v>
      </c>
      <c r="B193" s="16">
        <v>16</v>
      </c>
      <c r="C193" s="16">
        <v>14</v>
      </c>
      <c r="D193" s="51"/>
      <c r="E193" s="144"/>
      <c r="F193" s="144"/>
      <c r="G193" s="144"/>
      <c r="H193" s="152"/>
      <c r="I193" s="306"/>
      <c r="J193" s="306"/>
      <c r="K193" s="14"/>
      <c r="M193" s="102"/>
    </row>
    <row r="194" spans="1:13" ht="24.75" customHeight="1">
      <c r="A194" s="123" t="s">
        <v>53</v>
      </c>
      <c r="B194" s="94">
        <f>C194*1.25</f>
        <v>30</v>
      </c>
      <c r="C194" s="94">
        <v>24</v>
      </c>
      <c r="D194" s="112"/>
      <c r="E194" s="140"/>
      <c r="F194" s="140"/>
      <c r="G194" s="140"/>
      <c r="H194" s="94"/>
      <c r="I194" s="316"/>
      <c r="J194" s="317"/>
      <c r="K194" s="14"/>
      <c r="M194" s="102"/>
    </row>
    <row r="195" spans="1:13" ht="24.75" customHeight="1">
      <c r="A195" s="123" t="s">
        <v>19</v>
      </c>
      <c r="B195" s="94">
        <f>C195*1.33</f>
        <v>31.92</v>
      </c>
      <c r="C195" s="94">
        <v>24</v>
      </c>
      <c r="D195" s="112"/>
      <c r="E195" s="140"/>
      <c r="F195" s="140"/>
      <c r="G195" s="140"/>
      <c r="H195" s="94"/>
      <c r="I195" s="316"/>
      <c r="J195" s="317"/>
      <c r="K195" s="14"/>
      <c r="M195" s="102"/>
    </row>
    <row r="196" spans="1:13" ht="24.75" customHeight="1">
      <c r="A196" s="123" t="s">
        <v>46</v>
      </c>
      <c r="B196" s="94">
        <f>C196*1.25</f>
        <v>93.75</v>
      </c>
      <c r="C196" s="94">
        <v>75</v>
      </c>
      <c r="D196" s="112"/>
      <c r="E196" s="140"/>
      <c r="F196" s="140"/>
      <c r="G196" s="140"/>
      <c r="H196" s="94"/>
      <c r="I196" s="316"/>
      <c r="J196" s="317"/>
      <c r="K196" s="14"/>
      <c r="M196" s="102"/>
    </row>
    <row r="197" spans="1:13" ht="24.75" customHeight="1">
      <c r="A197" s="123" t="s">
        <v>122</v>
      </c>
      <c r="B197" s="94">
        <f>C197*1.02</f>
        <v>38.76</v>
      </c>
      <c r="C197" s="94">
        <v>38</v>
      </c>
      <c r="D197" s="112"/>
      <c r="E197" s="140"/>
      <c r="F197" s="140"/>
      <c r="G197" s="140"/>
      <c r="H197" s="94"/>
      <c r="I197" s="316"/>
      <c r="J197" s="317"/>
      <c r="M197" s="102"/>
    </row>
    <row r="198" spans="1:13" ht="24.75" customHeight="1">
      <c r="A198" s="141" t="s">
        <v>227</v>
      </c>
      <c r="B198" s="94">
        <f>C198*1.18</f>
        <v>44.839999999999996</v>
      </c>
      <c r="C198" s="94">
        <v>38</v>
      </c>
      <c r="D198" s="112"/>
      <c r="E198" s="140"/>
      <c r="F198" s="140"/>
      <c r="G198" s="140"/>
      <c r="H198" s="94"/>
      <c r="I198" s="316"/>
      <c r="J198" s="317"/>
      <c r="K198" s="10"/>
      <c r="M198" s="102"/>
    </row>
    <row r="199" spans="1:24" ht="24.75" customHeight="1">
      <c r="A199" s="123" t="s">
        <v>25</v>
      </c>
      <c r="B199" s="94">
        <f>C199*1.25</f>
        <v>17.5</v>
      </c>
      <c r="C199" s="94">
        <v>14</v>
      </c>
      <c r="D199" s="94"/>
      <c r="E199" s="140"/>
      <c r="F199" s="140"/>
      <c r="G199" s="140"/>
      <c r="H199" s="94"/>
      <c r="I199" s="316"/>
      <c r="J199" s="317"/>
      <c r="K199" s="14"/>
      <c r="M199" s="102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24.75" customHeight="1">
      <c r="A200" s="123" t="s">
        <v>19</v>
      </c>
      <c r="B200" s="94">
        <f>C200*1.33</f>
        <v>18.62</v>
      </c>
      <c r="C200" s="94">
        <v>14</v>
      </c>
      <c r="D200" s="94"/>
      <c r="E200" s="140"/>
      <c r="F200" s="140"/>
      <c r="G200" s="140"/>
      <c r="H200" s="94"/>
      <c r="I200" s="316"/>
      <c r="J200" s="317"/>
      <c r="K200" s="10"/>
      <c r="M200" s="102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24.75" customHeight="1">
      <c r="A201" s="123" t="s">
        <v>26</v>
      </c>
      <c r="B201" s="94">
        <f>C201*1.19</f>
        <v>11.899999999999999</v>
      </c>
      <c r="C201" s="94">
        <v>10</v>
      </c>
      <c r="D201" s="112"/>
      <c r="E201" s="140"/>
      <c r="F201" s="140"/>
      <c r="G201" s="140"/>
      <c r="H201" s="94"/>
      <c r="I201" s="316"/>
      <c r="J201" s="317"/>
      <c r="K201" s="14"/>
      <c r="M201" s="102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24.75" customHeight="1">
      <c r="A202" s="123" t="s">
        <v>27</v>
      </c>
      <c r="B202" s="94">
        <v>6</v>
      </c>
      <c r="C202" s="94">
        <v>6.25</v>
      </c>
      <c r="D202" s="112"/>
      <c r="E202" s="140"/>
      <c r="F202" s="140"/>
      <c r="G202" s="140"/>
      <c r="H202" s="94"/>
      <c r="I202" s="316"/>
      <c r="J202" s="317"/>
      <c r="K202" s="14"/>
      <c r="M202" s="102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24.75" customHeight="1">
      <c r="A203" s="115" t="s">
        <v>95</v>
      </c>
      <c r="B203" s="48">
        <v>5</v>
      </c>
      <c r="C203" s="48">
        <v>5</v>
      </c>
      <c r="D203" s="49"/>
      <c r="E203" s="149"/>
      <c r="F203" s="149"/>
      <c r="G203" s="149"/>
      <c r="H203" s="122"/>
      <c r="I203" s="315"/>
      <c r="J203" s="351"/>
      <c r="K203" s="14"/>
      <c r="L203" s="40"/>
      <c r="M203" s="102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24.75" customHeight="1">
      <c r="A204" s="123" t="s">
        <v>70</v>
      </c>
      <c r="B204" s="94">
        <v>2</v>
      </c>
      <c r="C204" s="112">
        <v>1</v>
      </c>
      <c r="D204" s="16"/>
      <c r="E204" s="50"/>
      <c r="F204" s="50"/>
      <c r="G204" s="50"/>
      <c r="H204" s="42"/>
      <c r="I204" s="307"/>
      <c r="J204" s="306"/>
      <c r="K204" s="15"/>
      <c r="M204" s="101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24.75" customHeight="1">
      <c r="A205" s="500" t="s">
        <v>298</v>
      </c>
      <c r="B205" s="500"/>
      <c r="C205" s="500"/>
      <c r="D205" s="500"/>
      <c r="E205" s="500"/>
      <c r="F205" s="500"/>
      <c r="G205" s="500"/>
      <c r="H205" s="500"/>
      <c r="I205" s="500"/>
      <c r="J205" s="500"/>
      <c r="K205" s="10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</row>
    <row r="206" spans="1:11" ht="24.75" customHeight="1">
      <c r="A206" s="501" t="s">
        <v>495</v>
      </c>
      <c r="B206" s="501"/>
      <c r="C206" s="501"/>
      <c r="D206" s="51" t="s">
        <v>268</v>
      </c>
      <c r="E206" s="144">
        <v>5.77</v>
      </c>
      <c r="F206" s="144">
        <v>5.74</v>
      </c>
      <c r="G206" s="144">
        <v>11.1</v>
      </c>
      <c r="H206" s="152">
        <f>E206*4+F206*9+G206*4</f>
        <v>119.14000000000001</v>
      </c>
      <c r="I206" s="306">
        <v>3.2</v>
      </c>
      <c r="J206" s="306" t="s">
        <v>496</v>
      </c>
      <c r="K206" s="10"/>
    </row>
    <row r="207" spans="1:11" ht="24.75" customHeight="1">
      <c r="A207" s="115" t="s">
        <v>555</v>
      </c>
      <c r="B207" s="16">
        <v>16</v>
      </c>
      <c r="C207" s="16">
        <v>14</v>
      </c>
      <c r="D207" s="51"/>
      <c r="E207" s="144"/>
      <c r="F207" s="144"/>
      <c r="G207" s="144"/>
      <c r="H207" s="152"/>
      <c r="I207" s="306"/>
      <c r="J207" s="306"/>
      <c r="K207" s="10"/>
    </row>
    <row r="208" spans="1:11" ht="24.75" customHeight="1">
      <c r="A208" s="123" t="s">
        <v>53</v>
      </c>
      <c r="B208" s="94">
        <f>C208*1.25</f>
        <v>50</v>
      </c>
      <c r="C208" s="94">
        <v>40</v>
      </c>
      <c r="D208" s="112"/>
      <c r="E208" s="140"/>
      <c r="F208" s="140"/>
      <c r="G208" s="140"/>
      <c r="H208" s="94"/>
      <c r="I208" s="316"/>
      <c r="J208" s="317"/>
      <c r="K208" s="10"/>
    </row>
    <row r="209" spans="1:11" ht="24.75" customHeight="1">
      <c r="A209" s="123" t="s">
        <v>19</v>
      </c>
      <c r="B209" s="94">
        <f>C209*1.33</f>
        <v>53.2</v>
      </c>
      <c r="C209" s="94">
        <v>40</v>
      </c>
      <c r="D209" s="112"/>
      <c r="E209" s="140"/>
      <c r="F209" s="140"/>
      <c r="G209" s="140"/>
      <c r="H209" s="94"/>
      <c r="I209" s="316"/>
      <c r="J209" s="317"/>
      <c r="K209" s="10"/>
    </row>
    <row r="210" spans="1:11" ht="24.75" customHeight="1">
      <c r="A210" s="123" t="s">
        <v>46</v>
      </c>
      <c r="B210" s="94">
        <f>C210*1.25</f>
        <v>25</v>
      </c>
      <c r="C210" s="94">
        <v>20</v>
      </c>
      <c r="D210" s="112"/>
      <c r="E210" s="140"/>
      <c r="F210" s="140"/>
      <c r="G210" s="140"/>
      <c r="H210" s="94"/>
      <c r="I210" s="316"/>
      <c r="J210" s="317"/>
      <c r="K210" s="14"/>
    </row>
    <row r="211" spans="1:11" ht="24.75" customHeight="1">
      <c r="A211" s="141" t="s">
        <v>305</v>
      </c>
      <c r="B211" s="94">
        <f>C211*1.86</f>
        <v>27.900000000000002</v>
      </c>
      <c r="C211" s="94">
        <v>15</v>
      </c>
      <c r="D211" s="112"/>
      <c r="E211" s="140"/>
      <c r="F211" s="140"/>
      <c r="G211" s="140"/>
      <c r="H211" s="94"/>
      <c r="I211" s="316"/>
      <c r="J211" s="317"/>
      <c r="K211" s="14"/>
    </row>
    <row r="212" spans="1:35" s="3" customFormat="1" ht="24.75" customHeight="1">
      <c r="A212" s="184" t="s">
        <v>21</v>
      </c>
      <c r="B212" s="187">
        <f>C212*1.33</f>
        <v>13.3</v>
      </c>
      <c r="C212" s="187">
        <v>10</v>
      </c>
      <c r="D212" s="183"/>
      <c r="E212" s="188"/>
      <c r="F212" s="188"/>
      <c r="G212" s="188"/>
      <c r="H212" s="187"/>
      <c r="I212" s="317"/>
      <c r="J212" s="317"/>
      <c r="K212" s="14"/>
      <c r="L212" s="39"/>
      <c r="M212" s="106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s="3" customFormat="1" ht="24.75" customHeight="1">
      <c r="A213" s="123" t="s">
        <v>22</v>
      </c>
      <c r="B213" s="94">
        <f>C213*1.43</f>
        <v>14.299999999999999</v>
      </c>
      <c r="C213" s="94">
        <v>10</v>
      </c>
      <c r="D213" s="112"/>
      <c r="E213" s="140"/>
      <c r="F213" s="189"/>
      <c r="G213" s="140"/>
      <c r="H213" s="94"/>
      <c r="I213" s="316"/>
      <c r="J213" s="317"/>
      <c r="K213" s="10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s="3" customFormat="1" ht="24.75" customHeight="1">
      <c r="A214" s="123" t="s">
        <v>23</v>
      </c>
      <c r="B214" s="94">
        <f>C214*1.54</f>
        <v>15.4</v>
      </c>
      <c r="C214" s="94">
        <v>10</v>
      </c>
      <c r="D214" s="112"/>
      <c r="E214" s="140"/>
      <c r="F214" s="140"/>
      <c r="G214" s="140"/>
      <c r="H214" s="94"/>
      <c r="I214" s="316"/>
      <c r="J214" s="317"/>
      <c r="K214" s="1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s="3" customFormat="1" ht="24.75" customHeight="1">
      <c r="A215" s="123" t="s">
        <v>24</v>
      </c>
      <c r="B215" s="94">
        <f>C215*1.67</f>
        <v>16.7</v>
      </c>
      <c r="C215" s="94">
        <v>10</v>
      </c>
      <c r="D215" s="112"/>
      <c r="E215" s="140"/>
      <c r="F215" s="140"/>
      <c r="G215" s="140"/>
      <c r="H215" s="94"/>
      <c r="I215" s="316"/>
      <c r="J215" s="317"/>
      <c r="K215" s="1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s="3" customFormat="1" ht="24.75" customHeight="1">
      <c r="A216" s="123" t="s">
        <v>306</v>
      </c>
      <c r="B216" s="94">
        <v>10</v>
      </c>
      <c r="C216" s="94">
        <v>10</v>
      </c>
      <c r="D216" s="112"/>
      <c r="E216" s="140"/>
      <c r="F216" s="140"/>
      <c r="G216" s="140"/>
      <c r="H216" s="94"/>
      <c r="I216" s="316"/>
      <c r="J216" s="317"/>
      <c r="K216" s="1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s="3" customFormat="1" ht="24.75" customHeight="1">
      <c r="A217" s="123" t="s">
        <v>25</v>
      </c>
      <c r="B217" s="94">
        <f>C217*1.25</f>
        <v>12.5</v>
      </c>
      <c r="C217" s="94">
        <v>10</v>
      </c>
      <c r="D217" s="94"/>
      <c r="E217" s="140"/>
      <c r="F217" s="140"/>
      <c r="G217" s="140"/>
      <c r="H217" s="94"/>
      <c r="I217" s="316"/>
      <c r="J217" s="317"/>
      <c r="K217" s="1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s="12" customFormat="1" ht="24.75" customHeight="1">
      <c r="A218" s="123" t="s">
        <v>19</v>
      </c>
      <c r="B218" s="94">
        <f>C218*1.33</f>
        <v>13.3</v>
      </c>
      <c r="C218" s="94">
        <v>10</v>
      </c>
      <c r="D218" s="94"/>
      <c r="E218" s="140"/>
      <c r="F218" s="140"/>
      <c r="G218" s="140"/>
      <c r="H218" s="94"/>
      <c r="I218" s="316"/>
      <c r="J218" s="317"/>
      <c r="K218" s="1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</row>
    <row r="219" spans="1:13" ht="24.75" customHeight="1">
      <c r="A219" s="123" t="s">
        <v>26</v>
      </c>
      <c r="B219" s="94">
        <f>C219*1.19</f>
        <v>11.899999999999999</v>
      </c>
      <c r="C219" s="94">
        <v>10</v>
      </c>
      <c r="D219" s="112"/>
      <c r="E219" s="140"/>
      <c r="F219" s="140"/>
      <c r="G219" s="140"/>
      <c r="H219" s="94"/>
      <c r="I219" s="316"/>
      <c r="J219" s="317"/>
      <c r="K219" s="14"/>
      <c r="L219" s="25"/>
      <c r="M219" s="25"/>
    </row>
    <row r="220" spans="1:13" ht="24.75" customHeight="1">
      <c r="A220" s="172" t="s">
        <v>421</v>
      </c>
      <c r="B220" s="94">
        <v>8</v>
      </c>
      <c r="C220" s="94">
        <v>7.5</v>
      </c>
      <c r="D220" s="112"/>
      <c r="E220" s="140"/>
      <c r="F220" s="140"/>
      <c r="G220" s="140"/>
      <c r="H220" s="94"/>
      <c r="I220" s="316"/>
      <c r="J220" s="317"/>
      <c r="K220" s="14"/>
      <c r="L220" s="25"/>
      <c r="M220" s="25"/>
    </row>
    <row r="221" spans="1:13" ht="24.75" customHeight="1">
      <c r="A221" s="123" t="s">
        <v>27</v>
      </c>
      <c r="B221" s="94">
        <v>6</v>
      </c>
      <c r="C221" s="94">
        <v>6.25</v>
      </c>
      <c r="D221" s="112"/>
      <c r="E221" s="140"/>
      <c r="F221" s="140"/>
      <c r="G221" s="140"/>
      <c r="H221" s="94"/>
      <c r="I221" s="316"/>
      <c r="J221" s="317"/>
      <c r="K221" s="14"/>
      <c r="L221" s="25"/>
      <c r="M221" s="25"/>
    </row>
    <row r="222" spans="1:13" ht="24.75" customHeight="1">
      <c r="A222" s="115" t="s">
        <v>95</v>
      </c>
      <c r="B222" s="48">
        <v>5</v>
      </c>
      <c r="C222" s="48">
        <v>5</v>
      </c>
      <c r="D222" s="49"/>
      <c r="E222" s="149"/>
      <c r="F222" s="149"/>
      <c r="G222" s="149"/>
      <c r="H222" s="122"/>
      <c r="I222" s="315"/>
      <c r="J222" s="351"/>
      <c r="K222" s="14"/>
      <c r="L222" s="25"/>
      <c r="M222" s="25"/>
    </row>
    <row r="223" spans="1:13" ht="24.75" customHeight="1">
      <c r="A223" s="123" t="s">
        <v>70</v>
      </c>
      <c r="B223" s="94">
        <v>2</v>
      </c>
      <c r="C223" s="112">
        <v>1</v>
      </c>
      <c r="D223" s="16"/>
      <c r="E223" s="50"/>
      <c r="F223" s="50"/>
      <c r="G223" s="50"/>
      <c r="H223" s="42"/>
      <c r="I223" s="307"/>
      <c r="J223" s="306"/>
      <c r="K223" s="14"/>
      <c r="L223" s="25"/>
      <c r="M223" s="25"/>
    </row>
    <row r="224" spans="1:13" ht="24.75" customHeight="1">
      <c r="A224" s="468" t="s">
        <v>479</v>
      </c>
      <c r="B224" s="468"/>
      <c r="C224" s="468"/>
      <c r="D224" s="41">
        <v>90</v>
      </c>
      <c r="E224" s="44">
        <v>8.2</v>
      </c>
      <c r="F224" s="44">
        <v>7.9</v>
      </c>
      <c r="G224" s="44">
        <v>9.2</v>
      </c>
      <c r="H224" s="45">
        <f>E224*4+F224*9+G224*4</f>
        <v>140.7</v>
      </c>
      <c r="I224" s="306">
        <v>0.27</v>
      </c>
      <c r="J224" s="306" t="s">
        <v>348</v>
      </c>
      <c r="K224" s="14"/>
      <c r="L224" s="25"/>
      <c r="M224" s="25"/>
    </row>
    <row r="225" spans="1:13" ht="24.75" customHeight="1">
      <c r="A225" s="158" t="s">
        <v>62</v>
      </c>
      <c r="B225" s="247">
        <f>C225*1.35</f>
        <v>103.95</v>
      </c>
      <c r="C225" s="153">
        <v>77</v>
      </c>
      <c r="D225" s="153"/>
      <c r="E225" s="161"/>
      <c r="F225" s="161"/>
      <c r="G225" s="161"/>
      <c r="H225" s="152"/>
      <c r="I225" s="309"/>
      <c r="J225" s="317"/>
      <c r="K225" s="14"/>
      <c r="L225" s="25"/>
      <c r="M225" s="25"/>
    </row>
    <row r="226" spans="1:11" ht="24.75" customHeight="1">
      <c r="A226" s="158" t="s">
        <v>74</v>
      </c>
      <c r="B226" s="23">
        <f>C226*1.18</f>
        <v>90.86</v>
      </c>
      <c r="C226" s="153">
        <v>77</v>
      </c>
      <c r="D226" s="153"/>
      <c r="E226" s="161"/>
      <c r="F226" s="161"/>
      <c r="G226" s="161"/>
      <c r="H226" s="142"/>
      <c r="I226" s="384"/>
      <c r="J226" s="161"/>
      <c r="K226" s="14"/>
    </row>
    <row r="227" spans="1:11" ht="24.75" customHeight="1">
      <c r="A227" s="158" t="s">
        <v>414</v>
      </c>
      <c r="B227" s="380">
        <f>C227</f>
        <v>77</v>
      </c>
      <c r="C227" s="153">
        <v>77</v>
      </c>
      <c r="D227" s="153"/>
      <c r="E227" s="161"/>
      <c r="F227" s="161"/>
      <c r="G227" s="161"/>
      <c r="H227" s="152"/>
      <c r="I227" s="381"/>
      <c r="J227" s="381"/>
      <c r="K227" s="14"/>
    </row>
    <row r="228" spans="1:11" ht="24.75" customHeight="1">
      <c r="A228" s="115" t="s">
        <v>26</v>
      </c>
      <c r="B228" s="50">
        <f>C228*1.19</f>
        <v>9.52</v>
      </c>
      <c r="C228" s="16">
        <v>8</v>
      </c>
      <c r="D228" s="153"/>
      <c r="E228" s="50"/>
      <c r="F228" s="50"/>
      <c r="G228" s="50"/>
      <c r="H228" s="45"/>
      <c r="I228" s="382"/>
      <c r="J228" s="382"/>
      <c r="K228" s="14"/>
    </row>
    <row r="229" spans="1:11" ht="24.75" customHeight="1">
      <c r="A229" s="115" t="s">
        <v>29</v>
      </c>
      <c r="B229" s="16">
        <v>7</v>
      </c>
      <c r="C229" s="16">
        <v>7</v>
      </c>
      <c r="D229" s="153"/>
      <c r="E229" s="50"/>
      <c r="F229" s="50"/>
      <c r="G229" s="50"/>
      <c r="H229" s="45"/>
      <c r="I229" s="382"/>
      <c r="J229" s="382"/>
      <c r="K229" s="14"/>
    </row>
    <row r="230" spans="1:11" ht="24.75" customHeight="1">
      <c r="A230" s="115" t="s">
        <v>36</v>
      </c>
      <c r="B230" s="16">
        <v>8</v>
      </c>
      <c r="C230" s="16">
        <v>8</v>
      </c>
      <c r="D230" s="153"/>
      <c r="E230" s="50"/>
      <c r="F230" s="50"/>
      <c r="G230" s="50"/>
      <c r="H230" s="45"/>
      <c r="I230" s="309"/>
      <c r="J230" s="317"/>
      <c r="K230" s="10"/>
    </row>
    <row r="231" spans="1:11" ht="24.75" customHeight="1">
      <c r="A231" s="172" t="s">
        <v>206</v>
      </c>
      <c r="B231" s="16">
        <v>9</v>
      </c>
      <c r="C231" s="16">
        <v>9</v>
      </c>
      <c r="D231" s="153"/>
      <c r="E231" s="50"/>
      <c r="F231" s="50"/>
      <c r="G231" s="50"/>
      <c r="H231" s="45"/>
      <c r="I231" s="383"/>
      <c r="J231" s="383"/>
      <c r="K231" s="10"/>
    </row>
    <row r="232" spans="1:11" ht="24.75" customHeight="1">
      <c r="A232" s="115" t="s">
        <v>415</v>
      </c>
      <c r="B232" s="16">
        <v>6</v>
      </c>
      <c r="C232" s="16">
        <v>6</v>
      </c>
      <c r="D232" s="153"/>
      <c r="E232" s="50"/>
      <c r="F232" s="50"/>
      <c r="G232" s="50"/>
      <c r="H232" s="45"/>
      <c r="I232" s="309"/>
      <c r="J232" s="317"/>
      <c r="K232" s="10"/>
    </row>
    <row r="233" spans="1:11" ht="24.75" customHeight="1">
      <c r="A233" s="115" t="s">
        <v>20</v>
      </c>
      <c r="B233" s="16">
        <v>4</v>
      </c>
      <c r="C233" s="16">
        <v>4</v>
      </c>
      <c r="D233" s="153"/>
      <c r="E233" s="50"/>
      <c r="F233" s="50"/>
      <c r="G233" s="50"/>
      <c r="H233" s="45"/>
      <c r="I233" s="309"/>
      <c r="J233" s="317"/>
      <c r="K233" s="98"/>
    </row>
    <row r="234" spans="1:11" ht="24.75" customHeight="1">
      <c r="A234" s="468" t="s">
        <v>160</v>
      </c>
      <c r="B234" s="468"/>
      <c r="C234" s="468"/>
      <c r="D234" s="41">
        <v>150</v>
      </c>
      <c r="E234" s="145">
        <v>2.7</v>
      </c>
      <c r="F234" s="145">
        <v>3.2</v>
      </c>
      <c r="G234" s="145">
        <v>30.5</v>
      </c>
      <c r="H234" s="45">
        <f>E234*4+F234*9+G234*4</f>
        <v>161.6</v>
      </c>
      <c r="I234" s="307">
        <v>0</v>
      </c>
      <c r="J234" s="306" t="s">
        <v>375</v>
      </c>
      <c r="K234" s="98"/>
    </row>
    <row r="235" spans="1:13" ht="24.75" customHeight="1">
      <c r="A235" s="123" t="s">
        <v>107</v>
      </c>
      <c r="B235" s="94">
        <v>53</v>
      </c>
      <c r="C235" s="94">
        <v>53</v>
      </c>
      <c r="D235" s="112"/>
      <c r="E235" s="112"/>
      <c r="F235" s="112"/>
      <c r="G235" s="112"/>
      <c r="H235" s="94"/>
      <c r="I235" s="316"/>
      <c r="J235" s="317"/>
      <c r="K235" s="98"/>
      <c r="M235" s="102"/>
    </row>
    <row r="236" spans="1:13" ht="33.75" customHeight="1">
      <c r="A236" s="123" t="s">
        <v>27</v>
      </c>
      <c r="B236" s="94">
        <v>5</v>
      </c>
      <c r="C236" s="94">
        <v>5</v>
      </c>
      <c r="D236" s="112"/>
      <c r="E236" s="140"/>
      <c r="F236" s="140"/>
      <c r="G236" s="140"/>
      <c r="H236" s="94"/>
      <c r="I236" s="316"/>
      <c r="J236" s="317"/>
      <c r="K236" s="98"/>
      <c r="M236" s="102"/>
    </row>
    <row r="237" spans="1:13" ht="33" customHeight="1">
      <c r="A237" s="468" t="s">
        <v>60</v>
      </c>
      <c r="B237" s="468"/>
      <c r="C237" s="468"/>
      <c r="D237" s="151">
        <v>200</v>
      </c>
      <c r="E237" s="145">
        <v>0.7</v>
      </c>
      <c r="F237" s="145">
        <v>0.1</v>
      </c>
      <c r="G237" s="145">
        <v>21.7</v>
      </c>
      <c r="H237" s="45">
        <f>E237*4+F237*9+G237*4</f>
        <v>90.5</v>
      </c>
      <c r="I237" s="307">
        <v>0.16</v>
      </c>
      <c r="J237" s="306" t="s">
        <v>360</v>
      </c>
      <c r="K237" s="98"/>
      <c r="M237" s="102"/>
    </row>
    <row r="238" spans="1:13" ht="32.25" customHeight="1">
      <c r="A238" s="123" t="s">
        <v>66</v>
      </c>
      <c r="B238" s="112">
        <v>20</v>
      </c>
      <c r="C238" s="112">
        <v>20</v>
      </c>
      <c r="D238" s="112"/>
      <c r="E238" s="140"/>
      <c r="F238" s="140"/>
      <c r="G238" s="140"/>
      <c r="H238" s="94"/>
      <c r="I238" s="316"/>
      <c r="J238" s="317"/>
      <c r="K238" s="98"/>
      <c r="M238" s="102"/>
    </row>
    <row r="239" spans="1:13" ht="35.25" customHeight="1">
      <c r="A239" s="184" t="s">
        <v>12</v>
      </c>
      <c r="B239" s="183">
        <v>15</v>
      </c>
      <c r="C239" s="183">
        <v>15</v>
      </c>
      <c r="D239" s="183"/>
      <c r="E239" s="188"/>
      <c r="F239" s="188"/>
      <c r="G239" s="188"/>
      <c r="H239" s="188"/>
      <c r="I239" s="188"/>
      <c r="J239" s="317"/>
      <c r="K239" s="98"/>
      <c r="M239" s="102"/>
    </row>
    <row r="240" spans="1:24" ht="42.75" customHeight="1">
      <c r="A240" s="461" t="s">
        <v>258</v>
      </c>
      <c r="B240" s="461"/>
      <c r="C240" s="461"/>
      <c r="D240" s="151">
        <v>50</v>
      </c>
      <c r="E240" s="145">
        <v>4.1</v>
      </c>
      <c r="F240" s="145">
        <v>0.7</v>
      </c>
      <c r="G240" s="145">
        <v>19</v>
      </c>
      <c r="H240" s="152">
        <v>98</v>
      </c>
      <c r="I240" s="306">
        <v>0</v>
      </c>
      <c r="J240" s="306"/>
      <c r="K240" s="98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11" ht="24.75" customHeight="1">
      <c r="A241" s="461" t="s">
        <v>72</v>
      </c>
      <c r="B241" s="461"/>
      <c r="C241" s="461"/>
      <c r="D241" s="151">
        <v>60</v>
      </c>
      <c r="E241" s="145">
        <v>3.96</v>
      </c>
      <c r="F241" s="145">
        <v>0.72</v>
      </c>
      <c r="G241" s="145">
        <v>20.04</v>
      </c>
      <c r="H241" s="152">
        <v>102.47999999999998</v>
      </c>
      <c r="I241" s="306">
        <v>0</v>
      </c>
      <c r="J241" s="306"/>
      <c r="K241" s="98"/>
    </row>
    <row r="242" spans="1:11" ht="24.75" customHeight="1">
      <c r="A242" s="469" t="s">
        <v>61</v>
      </c>
      <c r="B242" s="470"/>
      <c r="C242" s="470"/>
      <c r="D242" s="471"/>
      <c r="E242" s="128">
        <f>E243+E258</f>
        <v>2.2</v>
      </c>
      <c r="F242" s="128">
        <f>F243+F258</f>
        <v>5.7</v>
      </c>
      <c r="G242" s="128">
        <f>G243+G258</f>
        <v>49.5</v>
      </c>
      <c r="H242" s="116">
        <f>H243+H258</f>
        <v>258.1</v>
      </c>
      <c r="I242" s="128">
        <f>I243+I258</f>
        <v>20.58</v>
      </c>
      <c r="J242" s="159"/>
      <c r="K242" s="98"/>
    </row>
    <row r="243" spans="1:11" ht="24.75" customHeight="1">
      <c r="A243" s="481" t="s">
        <v>135</v>
      </c>
      <c r="B243" s="481"/>
      <c r="C243" s="481"/>
      <c r="D243" s="95">
        <v>90</v>
      </c>
      <c r="E243" s="249">
        <v>2.1</v>
      </c>
      <c r="F243" s="249">
        <v>5.7</v>
      </c>
      <c r="G243" s="249">
        <v>27.5</v>
      </c>
      <c r="H243" s="45">
        <f>E243*4+F243*9+G243*4</f>
        <v>169.7</v>
      </c>
      <c r="I243" s="307">
        <v>1.58</v>
      </c>
      <c r="J243" s="306" t="s">
        <v>505</v>
      </c>
      <c r="K243" s="98"/>
    </row>
    <row r="244" spans="1:11" ht="24.75" customHeight="1">
      <c r="A244" s="130" t="s">
        <v>120</v>
      </c>
      <c r="B244" s="199"/>
      <c r="C244" s="97">
        <v>58</v>
      </c>
      <c r="D244" s="199"/>
      <c r="E244" s="199"/>
      <c r="F244" s="200"/>
      <c r="G244" s="200"/>
      <c r="H244" s="201"/>
      <c r="I244" s="309"/>
      <c r="J244" s="317"/>
      <c r="K244" s="98"/>
    </row>
    <row r="245" spans="1:11" ht="24.75" customHeight="1">
      <c r="A245" s="202" t="s">
        <v>28</v>
      </c>
      <c r="B245" s="201">
        <v>37.50000000000001</v>
      </c>
      <c r="C245" s="201">
        <v>37.50000000000001</v>
      </c>
      <c r="D245" s="199"/>
      <c r="E245" s="199"/>
      <c r="F245" s="199"/>
      <c r="G245" s="199"/>
      <c r="H245" s="201"/>
      <c r="I245" s="309"/>
      <c r="J245" s="317"/>
      <c r="K245" s="98"/>
    </row>
    <row r="246" spans="1:11" ht="24.75" customHeight="1">
      <c r="A246" s="182" t="s">
        <v>149</v>
      </c>
      <c r="B246" s="201">
        <v>8</v>
      </c>
      <c r="C246" s="201">
        <v>8</v>
      </c>
      <c r="D246" s="199"/>
      <c r="E246" s="199"/>
      <c r="F246" s="200"/>
      <c r="G246" s="200"/>
      <c r="H246" s="201"/>
      <c r="I246" s="309"/>
      <c r="J246" s="317"/>
      <c r="K246" s="98"/>
    </row>
    <row r="247" spans="1:11" ht="24.75" customHeight="1">
      <c r="A247" s="184" t="s">
        <v>12</v>
      </c>
      <c r="B247" s="188">
        <v>2.7</v>
      </c>
      <c r="C247" s="188">
        <v>2.7</v>
      </c>
      <c r="D247" s="183"/>
      <c r="E247" s="183"/>
      <c r="F247" s="188"/>
      <c r="G247" s="188"/>
      <c r="H247" s="187"/>
      <c r="I247" s="317"/>
      <c r="J247" s="317"/>
      <c r="K247" s="98"/>
    </row>
    <row r="248" spans="1:11" ht="24.75" customHeight="1">
      <c r="A248" s="202" t="s">
        <v>27</v>
      </c>
      <c r="B248" s="201">
        <v>4</v>
      </c>
      <c r="C248" s="201">
        <v>4</v>
      </c>
      <c r="D248" s="199"/>
      <c r="E248" s="199"/>
      <c r="F248" s="200"/>
      <c r="G248" s="200"/>
      <c r="H248" s="201"/>
      <c r="I248" s="309"/>
      <c r="J248" s="317"/>
      <c r="K248" s="10"/>
    </row>
    <row r="249" spans="1:11" ht="24.75" customHeight="1">
      <c r="A249" s="115" t="s">
        <v>29</v>
      </c>
      <c r="B249" s="201">
        <v>6</v>
      </c>
      <c r="C249" s="201">
        <v>6</v>
      </c>
      <c r="D249" s="199"/>
      <c r="E249" s="199"/>
      <c r="F249" s="200"/>
      <c r="G249" s="200"/>
      <c r="H249" s="201"/>
      <c r="I249" s="309"/>
      <c r="J249" s="317"/>
      <c r="K249" s="10"/>
    </row>
    <row r="250" spans="1:13" ht="24.75" customHeight="1">
      <c r="A250" s="202" t="s">
        <v>102</v>
      </c>
      <c r="B250" s="200">
        <v>1.4</v>
      </c>
      <c r="C250" s="200">
        <v>1.4</v>
      </c>
      <c r="D250" s="199"/>
      <c r="E250" s="199"/>
      <c r="F250" s="200"/>
      <c r="G250" s="200"/>
      <c r="H250" s="201"/>
      <c r="I250" s="309"/>
      <c r="J250" s="317"/>
      <c r="K250" s="10"/>
      <c r="M250" s="102"/>
    </row>
    <row r="251" spans="1:13" ht="24.75" customHeight="1">
      <c r="A251" s="202" t="s">
        <v>230</v>
      </c>
      <c r="B251" s="200">
        <v>0.36</v>
      </c>
      <c r="C251" s="200">
        <v>0.36</v>
      </c>
      <c r="D251" s="199"/>
      <c r="E251" s="199"/>
      <c r="F251" s="200"/>
      <c r="G251" s="200"/>
      <c r="H251" s="201"/>
      <c r="I251" s="309"/>
      <c r="J251" s="317"/>
      <c r="K251" s="10"/>
      <c r="M251" s="102"/>
    </row>
    <row r="252" spans="1:13" ht="24.75" customHeight="1">
      <c r="A252" s="190" t="s">
        <v>150</v>
      </c>
      <c r="B252" s="200">
        <v>0.5</v>
      </c>
      <c r="C252" s="200">
        <v>0.5</v>
      </c>
      <c r="D252" s="199"/>
      <c r="E252" s="199"/>
      <c r="F252" s="200"/>
      <c r="G252" s="200"/>
      <c r="H252" s="201"/>
      <c r="I252" s="309"/>
      <c r="J252" s="317"/>
      <c r="K252" s="10"/>
      <c r="M252" s="102"/>
    </row>
    <row r="253" spans="1:35" s="3" customFormat="1" ht="24.75" customHeight="1">
      <c r="A253" s="130" t="s">
        <v>121</v>
      </c>
      <c r="B253" s="201"/>
      <c r="C253" s="97">
        <v>41.25</v>
      </c>
      <c r="D253" s="199"/>
      <c r="E253" s="199"/>
      <c r="F253" s="200"/>
      <c r="G253" s="200"/>
      <c r="H253" s="201"/>
      <c r="I253" s="309"/>
      <c r="J253" s="317"/>
      <c r="K253" s="10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1:11" ht="24.75" customHeight="1">
      <c r="A254" s="171" t="s">
        <v>176</v>
      </c>
      <c r="B254" s="42">
        <v>49</v>
      </c>
      <c r="C254" s="201">
        <v>34</v>
      </c>
      <c r="D254" s="199"/>
      <c r="E254" s="199"/>
      <c r="F254" s="200"/>
      <c r="G254" s="200"/>
      <c r="H254" s="201"/>
      <c r="I254" s="309"/>
      <c r="J254" s="317"/>
      <c r="K254" s="10"/>
    </row>
    <row r="255" spans="1:11" ht="24.75" customHeight="1">
      <c r="A255" s="184" t="s">
        <v>12</v>
      </c>
      <c r="B255" s="187">
        <v>8</v>
      </c>
      <c r="C255" s="187">
        <v>8</v>
      </c>
      <c r="D255" s="183"/>
      <c r="E255" s="183"/>
      <c r="F255" s="188"/>
      <c r="G255" s="188"/>
      <c r="H255" s="187"/>
      <c r="I255" s="317"/>
      <c r="J255" s="317"/>
      <c r="K255" s="14"/>
    </row>
    <row r="256" spans="1:11" ht="24.75" customHeight="1">
      <c r="A256" s="115" t="s">
        <v>221</v>
      </c>
      <c r="B256" s="94">
        <v>1.5</v>
      </c>
      <c r="C256" s="94">
        <v>1.5</v>
      </c>
      <c r="D256" s="199"/>
      <c r="E256" s="199"/>
      <c r="F256" s="200"/>
      <c r="G256" s="200"/>
      <c r="H256" s="201"/>
      <c r="I256" s="309"/>
      <c r="J256" s="317"/>
      <c r="K256" s="14"/>
    </row>
    <row r="257" spans="1:11" ht="39.75" customHeight="1">
      <c r="A257" s="172" t="s">
        <v>119</v>
      </c>
      <c r="B257" s="140">
        <v>0.5</v>
      </c>
      <c r="C257" s="140">
        <v>0.5</v>
      </c>
      <c r="D257" s="199"/>
      <c r="E257" s="199"/>
      <c r="F257" s="200"/>
      <c r="G257" s="200"/>
      <c r="H257" s="201"/>
      <c r="I257" s="309"/>
      <c r="J257" s="317"/>
      <c r="K257" s="14"/>
    </row>
    <row r="258" spans="1:11" ht="24.75" customHeight="1">
      <c r="A258" s="482" t="s">
        <v>504</v>
      </c>
      <c r="B258" s="482"/>
      <c r="C258" s="482"/>
      <c r="D258" s="143">
        <v>200</v>
      </c>
      <c r="E258" s="143">
        <v>0.1</v>
      </c>
      <c r="F258" s="144">
        <v>0</v>
      </c>
      <c r="G258" s="144">
        <v>22</v>
      </c>
      <c r="H258" s="152">
        <f>E258*4+F258*9+G258*4</f>
        <v>88.4</v>
      </c>
      <c r="I258" s="317">
        <v>19</v>
      </c>
      <c r="J258" s="317" t="s">
        <v>503</v>
      </c>
      <c r="K258" s="10"/>
    </row>
    <row r="259" spans="1:11" ht="24.75" customHeight="1">
      <c r="A259" s="469" t="s">
        <v>30</v>
      </c>
      <c r="B259" s="470"/>
      <c r="C259" s="470"/>
      <c r="D259" s="471"/>
      <c r="E259" s="128">
        <f>E260+E269+E272+E282+E285+E286+E288+E279</f>
        <v>19.839999999999996</v>
      </c>
      <c r="F259" s="128">
        <f>F260+F269+F272+F282+F285+F286+F288+F279</f>
        <v>20.62</v>
      </c>
      <c r="G259" s="128">
        <f>G260+G269+G272+G282+G285+G286+G288+G279</f>
        <v>61.52</v>
      </c>
      <c r="H259" s="116">
        <f>H260+H269+H272+H282+H285+H286+H288+H279</f>
        <v>510.73999999999995</v>
      </c>
      <c r="I259" s="128">
        <f>I260+I269+I272+I282+I285+I286+I288+I279</f>
        <v>32.699999999999996</v>
      </c>
      <c r="J259" s="159"/>
      <c r="K259" s="14"/>
    </row>
    <row r="260" spans="1:11" ht="18" customHeight="1">
      <c r="A260" s="502" t="s">
        <v>186</v>
      </c>
      <c r="B260" s="503"/>
      <c r="C260" s="504"/>
      <c r="D260" s="338" t="s">
        <v>592</v>
      </c>
      <c r="E260" s="44">
        <v>3.1</v>
      </c>
      <c r="F260" s="44">
        <v>2.5</v>
      </c>
      <c r="G260" s="44">
        <v>1.1</v>
      </c>
      <c r="H260" s="152">
        <f>E260*4+F260*9+G260*4</f>
        <v>39.3</v>
      </c>
      <c r="I260" s="306">
        <v>3.36</v>
      </c>
      <c r="J260" s="306" t="s">
        <v>520</v>
      </c>
      <c r="K260" s="14"/>
    </row>
    <row r="261" spans="1:11" ht="31.5" customHeight="1">
      <c r="A261" s="407" t="s">
        <v>554</v>
      </c>
      <c r="B261" s="24">
        <v>63</v>
      </c>
      <c r="C261" s="16">
        <v>30</v>
      </c>
      <c r="D261" s="112"/>
      <c r="E261" s="112"/>
      <c r="F261" s="44"/>
      <c r="G261" s="44"/>
      <c r="H261" s="45"/>
      <c r="I261" s="307"/>
      <c r="J261" s="306"/>
      <c r="K261" s="14"/>
    </row>
    <row r="262" spans="1:11" ht="15" customHeight="1" hidden="1">
      <c r="A262" s="195" t="s">
        <v>196</v>
      </c>
      <c r="B262" s="196">
        <v>32</v>
      </c>
      <c r="C262" s="112">
        <v>30</v>
      </c>
      <c r="D262" s="43"/>
      <c r="E262" s="144"/>
      <c r="F262" s="144"/>
      <c r="G262" s="144"/>
      <c r="H262" s="45"/>
      <c r="I262" s="307"/>
      <c r="J262" s="306"/>
      <c r="K262" s="14"/>
    </row>
    <row r="263" spans="1:11" ht="18" customHeight="1" hidden="1">
      <c r="A263" s="195" t="s">
        <v>184</v>
      </c>
      <c r="B263" s="24">
        <v>34</v>
      </c>
      <c r="C263" s="16">
        <v>30</v>
      </c>
      <c r="D263" s="112"/>
      <c r="E263" s="112"/>
      <c r="F263" s="112"/>
      <c r="G263" s="112"/>
      <c r="H263" s="94"/>
      <c r="I263" s="316"/>
      <c r="J263" s="317"/>
      <c r="K263" s="14"/>
    </row>
    <row r="264" spans="1:11" ht="13.5" customHeight="1" hidden="1">
      <c r="A264" s="195" t="s">
        <v>185</v>
      </c>
      <c r="B264" s="197">
        <v>34</v>
      </c>
      <c r="C264" s="112">
        <v>30</v>
      </c>
      <c r="D264" s="112"/>
      <c r="E264" s="112"/>
      <c r="F264" s="112"/>
      <c r="G264" s="112"/>
      <c r="H264" s="94"/>
      <c r="I264" s="316"/>
      <c r="J264" s="317"/>
      <c r="K264" s="14"/>
    </row>
    <row r="265" spans="1:11" ht="12" customHeight="1">
      <c r="A265" s="123" t="s">
        <v>26</v>
      </c>
      <c r="B265" s="94">
        <f>C265*1.19</f>
        <v>11.899999999999999</v>
      </c>
      <c r="C265" s="112">
        <v>10</v>
      </c>
      <c r="D265" s="112"/>
      <c r="E265" s="140"/>
      <c r="F265" s="140"/>
      <c r="G265" s="140"/>
      <c r="H265" s="94"/>
      <c r="I265" s="316"/>
      <c r="J265" s="317"/>
      <c r="K265" s="14"/>
    </row>
    <row r="266" spans="1:11" ht="16.5" customHeight="1">
      <c r="A266" s="123" t="s">
        <v>416</v>
      </c>
      <c r="B266" s="140">
        <f>C266*1.25</f>
        <v>12.5</v>
      </c>
      <c r="C266" s="112">
        <v>10</v>
      </c>
      <c r="D266" s="112"/>
      <c r="E266" s="140"/>
      <c r="F266" s="140"/>
      <c r="G266" s="140"/>
      <c r="H266" s="94"/>
      <c r="I266" s="316"/>
      <c r="J266" s="317"/>
      <c r="K266" s="14"/>
    </row>
    <row r="267" spans="1:11" ht="18" customHeight="1">
      <c r="A267" s="123" t="s">
        <v>17</v>
      </c>
      <c r="B267" s="112">
        <v>8</v>
      </c>
      <c r="C267" s="112">
        <v>7</v>
      </c>
      <c r="D267" s="112"/>
      <c r="E267" s="140"/>
      <c r="F267" s="140"/>
      <c r="G267" s="140"/>
      <c r="H267" s="94"/>
      <c r="I267" s="316"/>
      <c r="J267" s="317"/>
      <c r="K267" s="14"/>
    </row>
    <row r="268" spans="1:11" ht="18" customHeight="1">
      <c r="A268" s="123" t="s">
        <v>70</v>
      </c>
      <c r="B268" s="94">
        <v>3</v>
      </c>
      <c r="C268" s="112">
        <v>2</v>
      </c>
      <c r="D268" s="112"/>
      <c r="E268" s="140"/>
      <c r="F268" s="140"/>
      <c r="G268" s="140"/>
      <c r="H268" s="94"/>
      <c r="I268" s="316"/>
      <c r="J268" s="317"/>
      <c r="K268" s="14"/>
    </row>
    <row r="269" spans="1:11" ht="24.75" customHeight="1">
      <c r="A269" s="502" t="s">
        <v>143</v>
      </c>
      <c r="B269" s="503"/>
      <c r="C269" s="504"/>
      <c r="D269" s="108">
        <v>90</v>
      </c>
      <c r="E269" s="111">
        <v>5.1</v>
      </c>
      <c r="F269" s="111">
        <v>8.4</v>
      </c>
      <c r="G269" s="111">
        <v>0.8</v>
      </c>
      <c r="H269" s="109">
        <f>E269*4+F269*9+G269*4</f>
        <v>99.2</v>
      </c>
      <c r="I269" s="310">
        <v>0</v>
      </c>
      <c r="J269" s="350" t="s">
        <v>363</v>
      </c>
      <c r="K269" s="14"/>
    </row>
    <row r="270" spans="1:11" ht="24.75" customHeight="1">
      <c r="A270" s="141" t="s">
        <v>144</v>
      </c>
      <c r="B270" s="112">
        <v>87</v>
      </c>
      <c r="C270" s="199">
        <v>85</v>
      </c>
      <c r="D270" s="199"/>
      <c r="E270" s="200"/>
      <c r="F270" s="200"/>
      <c r="G270" s="200"/>
      <c r="H270" s="201"/>
      <c r="I270" s="200"/>
      <c r="J270" s="317"/>
      <c r="K270" s="14"/>
    </row>
    <row r="271" spans="1:11" ht="24.75" customHeight="1">
      <c r="A271" s="123" t="s">
        <v>27</v>
      </c>
      <c r="B271" s="199">
        <v>5</v>
      </c>
      <c r="C271" s="199">
        <v>5</v>
      </c>
      <c r="D271" s="199"/>
      <c r="E271" s="200"/>
      <c r="F271" s="200"/>
      <c r="G271" s="200"/>
      <c r="H271" s="201"/>
      <c r="I271" s="309"/>
      <c r="J271" s="317"/>
      <c r="K271" s="14"/>
    </row>
    <row r="272" spans="1:11" ht="24.75" customHeight="1">
      <c r="A272" s="468" t="s">
        <v>49</v>
      </c>
      <c r="B272" s="468"/>
      <c r="C272" s="468"/>
      <c r="D272" s="41">
        <v>150</v>
      </c>
      <c r="E272" s="145">
        <v>3.2</v>
      </c>
      <c r="F272" s="145">
        <v>4.2</v>
      </c>
      <c r="G272" s="145">
        <v>21.6</v>
      </c>
      <c r="H272" s="152">
        <f>E272*4+F272*9+G272*4</f>
        <v>137</v>
      </c>
      <c r="I272" s="306">
        <v>25.4</v>
      </c>
      <c r="J272" s="306" t="s">
        <v>364</v>
      </c>
      <c r="K272" s="14"/>
    </row>
    <row r="273" spans="1:11" ht="24.75" customHeight="1">
      <c r="A273" s="139" t="s">
        <v>21</v>
      </c>
      <c r="B273" s="187">
        <f>C273*1.33</f>
        <v>170.34230769230768</v>
      </c>
      <c r="C273" s="142">
        <v>128.07692307692307</v>
      </c>
      <c r="D273" s="142"/>
      <c r="E273" s="161"/>
      <c r="F273" s="161"/>
      <c r="G273" s="161"/>
      <c r="H273" s="142"/>
      <c r="I273" s="306"/>
      <c r="J273" s="306"/>
      <c r="K273" s="14"/>
    </row>
    <row r="274" spans="1:11" ht="24.75" customHeight="1">
      <c r="A274" s="115" t="s">
        <v>22</v>
      </c>
      <c r="B274" s="94">
        <f>C274*1.43</f>
        <v>183.14999999999998</v>
      </c>
      <c r="C274" s="42">
        <v>128.07692307692307</v>
      </c>
      <c r="D274" s="42"/>
      <c r="E274" s="50"/>
      <c r="F274" s="50"/>
      <c r="G274" s="50"/>
      <c r="H274" s="42"/>
      <c r="I274" s="307"/>
      <c r="J274" s="306"/>
      <c r="K274" s="14"/>
    </row>
    <row r="275" spans="1:11" ht="24.75" customHeight="1">
      <c r="A275" s="123" t="s">
        <v>23</v>
      </c>
      <c r="B275" s="94">
        <f>C275*1.54</f>
        <v>197.23846153846154</v>
      </c>
      <c r="C275" s="42">
        <v>128.07692307692307</v>
      </c>
      <c r="D275" s="42"/>
      <c r="E275" s="50"/>
      <c r="F275" s="50"/>
      <c r="G275" s="50"/>
      <c r="H275" s="42"/>
      <c r="I275" s="307"/>
      <c r="J275" s="306"/>
      <c r="K275" s="14"/>
    </row>
    <row r="276" spans="1:11" ht="24.75" customHeight="1">
      <c r="A276" s="123" t="s">
        <v>24</v>
      </c>
      <c r="B276" s="94">
        <f>C276*1.67</f>
        <v>213.8884615384615</v>
      </c>
      <c r="C276" s="42">
        <v>128.07692307692307</v>
      </c>
      <c r="D276" s="42"/>
      <c r="E276" s="50"/>
      <c r="F276" s="50"/>
      <c r="G276" s="50"/>
      <c r="H276" s="42"/>
      <c r="I276" s="307"/>
      <c r="J276" s="306"/>
      <c r="K276" s="14"/>
    </row>
    <row r="277" spans="1:11" ht="24.75" customHeight="1">
      <c r="A277" s="182" t="s">
        <v>149</v>
      </c>
      <c r="B277" s="42">
        <v>24</v>
      </c>
      <c r="C277" s="42">
        <v>24</v>
      </c>
      <c r="D277" s="42"/>
      <c r="E277" s="50"/>
      <c r="F277" s="50"/>
      <c r="G277" s="50"/>
      <c r="H277" s="42"/>
      <c r="I277" s="307"/>
      <c r="J277" s="306"/>
      <c r="K277" s="10"/>
    </row>
    <row r="278" spans="1:11" ht="24.75" customHeight="1">
      <c r="A278" s="115" t="s">
        <v>27</v>
      </c>
      <c r="B278" s="42">
        <v>4</v>
      </c>
      <c r="C278" s="42">
        <v>4</v>
      </c>
      <c r="D278" s="42"/>
      <c r="E278" s="50"/>
      <c r="F278" s="50"/>
      <c r="G278" s="50"/>
      <c r="H278" s="42"/>
      <c r="I278" s="307"/>
      <c r="J278" s="306"/>
      <c r="K278" s="10"/>
    </row>
    <row r="279" spans="1:11" ht="24.75" customHeight="1">
      <c r="A279" s="429" t="s">
        <v>540</v>
      </c>
      <c r="B279" s="94"/>
      <c r="C279" s="112"/>
      <c r="D279" s="118">
        <v>30</v>
      </c>
      <c r="E279" s="44">
        <v>0.24</v>
      </c>
      <c r="F279" s="44">
        <v>0</v>
      </c>
      <c r="G279" s="44">
        <v>0.72</v>
      </c>
      <c r="H279" s="45">
        <f>E279*4+F279*9+G279*4</f>
        <v>3.84</v>
      </c>
      <c r="I279" s="307">
        <v>2.9</v>
      </c>
      <c r="J279" s="306"/>
      <c r="K279" s="15"/>
    </row>
    <row r="280" spans="1:11" ht="24.75" customHeight="1">
      <c r="A280" s="114" t="s">
        <v>223</v>
      </c>
      <c r="B280" s="201">
        <f>C280*1.05</f>
        <v>31.5</v>
      </c>
      <c r="C280" s="282">
        <v>30</v>
      </c>
      <c r="D280" s="421"/>
      <c r="E280" s="151"/>
      <c r="F280" s="151"/>
      <c r="G280" s="151"/>
      <c r="H280" s="151"/>
      <c r="I280" s="306"/>
      <c r="J280" s="306"/>
      <c r="K280" s="10"/>
    </row>
    <row r="281" spans="1:11" ht="24.75" customHeight="1">
      <c r="A281" s="202" t="s">
        <v>224</v>
      </c>
      <c r="B281" s="94">
        <f>C281*1.02</f>
        <v>30.6</v>
      </c>
      <c r="C281" s="282">
        <v>30</v>
      </c>
      <c r="D281" s="422"/>
      <c r="E281" s="41"/>
      <c r="F281" s="41"/>
      <c r="G281" s="41"/>
      <c r="H281" s="41"/>
      <c r="I281" s="307"/>
      <c r="J281" s="307"/>
      <c r="K281" s="71"/>
    </row>
    <row r="282" spans="1:11" ht="24.75" customHeight="1">
      <c r="A282" s="468" t="s">
        <v>394</v>
      </c>
      <c r="B282" s="468"/>
      <c r="C282" s="468"/>
      <c r="D282" s="41">
        <v>200</v>
      </c>
      <c r="E282" s="44">
        <v>0</v>
      </c>
      <c r="F282" s="44">
        <v>0</v>
      </c>
      <c r="G282" s="44">
        <v>13.6</v>
      </c>
      <c r="H282" s="45">
        <f>E282*4+F282*9+G282*4</f>
        <v>54.4</v>
      </c>
      <c r="I282" s="307">
        <v>0</v>
      </c>
      <c r="J282" s="306" t="s">
        <v>353</v>
      </c>
      <c r="K282" s="14"/>
    </row>
    <row r="283" spans="1:11" ht="24.75" customHeight="1">
      <c r="A283" s="172" t="s">
        <v>395</v>
      </c>
      <c r="B283" s="16">
        <v>0.4</v>
      </c>
      <c r="C283" s="16">
        <v>0.4</v>
      </c>
      <c r="D283" s="16"/>
      <c r="E283" s="50"/>
      <c r="F283" s="50"/>
      <c r="G283" s="50"/>
      <c r="H283" s="42"/>
      <c r="I283" s="364"/>
      <c r="J283" s="364"/>
      <c r="K283" s="14"/>
    </row>
    <row r="284" spans="1:11" ht="24.75" customHeight="1">
      <c r="A284" s="115" t="s">
        <v>161</v>
      </c>
      <c r="B284" s="16">
        <v>12</v>
      </c>
      <c r="C284" s="16">
        <v>12</v>
      </c>
      <c r="D284" s="16"/>
      <c r="E284" s="50"/>
      <c r="F284" s="50"/>
      <c r="G284" s="50"/>
      <c r="H284" s="50"/>
      <c r="I284" s="50"/>
      <c r="J284" s="50"/>
      <c r="K284" s="89"/>
    </row>
    <row r="285" spans="1:24" ht="24.75" customHeight="1">
      <c r="A285" s="461" t="s">
        <v>258</v>
      </c>
      <c r="B285" s="461"/>
      <c r="C285" s="461"/>
      <c r="D285" s="151">
        <v>20</v>
      </c>
      <c r="E285" s="145">
        <v>1.6399999999999997</v>
      </c>
      <c r="F285" s="145">
        <v>0.28</v>
      </c>
      <c r="G285" s="145">
        <v>7.6</v>
      </c>
      <c r="H285" s="152">
        <v>39.2</v>
      </c>
      <c r="I285" s="306">
        <v>0</v>
      </c>
      <c r="J285" s="306"/>
      <c r="K285" s="64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11" ht="24.75" customHeight="1">
      <c r="A286" s="461" t="s">
        <v>72</v>
      </c>
      <c r="B286" s="461"/>
      <c r="C286" s="461"/>
      <c r="D286" s="151">
        <v>20</v>
      </c>
      <c r="E286" s="145">
        <v>1.36</v>
      </c>
      <c r="F286" s="145">
        <v>0.24</v>
      </c>
      <c r="G286" s="145">
        <v>6.72</v>
      </c>
      <c r="H286" s="152">
        <v>34.48</v>
      </c>
      <c r="I286" s="306">
        <v>0</v>
      </c>
      <c r="J286" s="306"/>
      <c r="K286" s="64"/>
    </row>
    <row r="287" spans="1:11" ht="24.75" customHeight="1">
      <c r="A287" s="469" t="s">
        <v>232</v>
      </c>
      <c r="B287" s="470"/>
      <c r="C287" s="470"/>
      <c r="D287" s="470"/>
      <c r="E287" s="470"/>
      <c r="F287" s="470"/>
      <c r="G287" s="470"/>
      <c r="H287" s="470"/>
      <c r="I287" s="470"/>
      <c r="J287" s="471"/>
      <c r="K287" s="295"/>
    </row>
    <row r="288" spans="1:11" ht="24.75" customHeight="1">
      <c r="A288" s="468" t="s">
        <v>267</v>
      </c>
      <c r="B288" s="468"/>
      <c r="C288" s="468"/>
      <c r="D288" s="41">
        <v>200</v>
      </c>
      <c r="E288" s="52">
        <v>5.2</v>
      </c>
      <c r="F288" s="79">
        <v>5</v>
      </c>
      <c r="G288" s="52">
        <v>9.38</v>
      </c>
      <c r="H288" s="120">
        <f>G288*4+F288*9+E288*4</f>
        <v>103.32000000000001</v>
      </c>
      <c r="I288" s="314">
        <v>1.04</v>
      </c>
      <c r="J288" s="350" t="s">
        <v>370</v>
      </c>
      <c r="K288" s="295"/>
    </row>
    <row r="289" spans="1:11" ht="24.75" customHeight="1">
      <c r="A289" s="182" t="s">
        <v>149</v>
      </c>
      <c r="B289" s="112">
        <v>210</v>
      </c>
      <c r="C289" s="112">
        <v>200</v>
      </c>
      <c r="D289" s="112"/>
      <c r="E289" s="140"/>
      <c r="F289" s="140"/>
      <c r="G289" s="140"/>
      <c r="H289" s="94"/>
      <c r="I289" s="316"/>
      <c r="J289" s="317"/>
      <c r="K289" s="64"/>
    </row>
    <row r="290" spans="1:11" ht="24.75" customHeight="1">
      <c r="A290" s="368" t="s">
        <v>214</v>
      </c>
      <c r="B290" s="112">
        <v>200</v>
      </c>
      <c r="C290" s="112">
        <v>200</v>
      </c>
      <c r="D290" s="112"/>
      <c r="E290" s="140"/>
      <c r="F290" s="140"/>
      <c r="G290" s="140"/>
      <c r="H290" s="94"/>
      <c r="I290" s="316"/>
      <c r="J290" s="317"/>
      <c r="K290" s="64"/>
    </row>
    <row r="291" spans="1:11" ht="24.75" customHeight="1">
      <c r="A291" s="478" t="s">
        <v>141</v>
      </c>
      <c r="B291" s="478"/>
      <c r="C291" s="478"/>
      <c r="D291" s="478"/>
      <c r="E291" s="217">
        <f>E287+E259+E242+E169+E133+E167</f>
        <v>65.8</v>
      </c>
      <c r="F291" s="217">
        <f>F287+F259+F242+F169+F133+F167</f>
        <v>70.69</v>
      </c>
      <c r="G291" s="216">
        <f>G287+G259+G242+G169+G133+G167</f>
        <v>308.86</v>
      </c>
      <c r="H291" s="217">
        <f>H287+H259+H242+H169+H133+H167</f>
        <v>2133.63</v>
      </c>
      <c r="I291" s="318">
        <f>I287+I259+I242+I169+I133+I167</f>
        <v>105.99</v>
      </c>
      <c r="J291" s="324"/>
      <c r="K291" s="14"/>
    </row>
    <row r="292" spans="1:11" ht="24.75" customHeight="1">
      <c r="A292" s="484" t="s">
        <v>0</v>
      </c>
      <c r="B292" s="485"/>
      <c r="C292" s="485"/>
      <c r="D292" s="485"/>
      <c r="E292" s="485"/>
      <c r="F292" s="485"/>
      <c r="G292" s="485"/>
      <c r="H292" s="485"/>
      <c r="I292" s="485"/>
      <c r="J292" s="499"/>
      <c r="K292" s="14"/>
    </row>
    <row r="293" spans="1:13" ht="24.75" customHeight="1" thickBot="1">
      <c r="A293" s="484" t="s">
        <v>38</v>
      </c>
      <c r="B293" s="485"/>
      <c r="C293" s="485"/>
      <c r="D293" s="485"/>
      <c r="E293" s="485"/>
      <c r="F293" s="485"/>
      <c r="G293" s="485"/>
      <c r="H293" s="485"/>
      <c r="I293" s="485"/>
      <c r="J293" s="499"/>
      <c r="K293" s="14"/>
      <c r="L293" s="181" t="s">
        <v>38</v>
      </c>
      <c r="M293" s="102"/>
    </row>
    <row r="294" spans="1:13" ht="24.75" customHeight="1">
      <c r="A294" s="455" t="s">
        <v>2</v>
      </c>
      <c r="B294" s="449" t="s">
        <v>3</v>
      </c>
      <c r="C294" s="449" t="s">
        <v>4</v>
      </c>
      <c r="D294" s="455" t="s">
        <v>5</v>
      </c>
      <c r="E294" s="455"/>
      <c r="F294" s="455"/>
      <c r="G294" s="455"/>
      <c r="H294" s="455"/>
      <c r="I294" s="455"/>
      <c r="J294" s="446" t="s">
        <v>311</v>
      </c>
      <c r="K294" s="14"/>
      <c r="L294" s="59" t="s">
        <v>72</v>
      </c>
      <c r="M294" s="102">
        <f>D356+D382</f>
        <v>70</v>
      </c>
    </row>
    <row r="295" spans="1:13" ht="24.75" customHeight="1">
      <c r="A295" s="455"/>
      <c r="B295" s="449"/>
      <c r="C295" s="449"/>
      <c r="D295" s="449" t="s">
        <v>6</v>
      </c>
      <c r="E295" s="467" t="s">
        <v>7</v>
      </c>
      <c r="F295" s="467" t="s">
        <v>8</v>
      </c>
      <c r="G295" s="467" t="s">
        <v>9</v>
      </c>
      <c r="H295" s="453" t="s">
        <v>10</v>
      </c>
      <c r="I295" s="444" t="s">
        <v>312</v>
      </c>
      <c r="J295" s="447"/>
      <c r="K295" s="14"/>
      <c r="L295" s="35" t="s">
        <v>82</v>
      </c>
      <c r="M295" s="102">
        <f>B307+D355+D383+D358</f>
        <v>180</v>
      </c>
    </row>
    <row r="296" spans="1:13" ht="24.75" customHeight="1">
      <c r="A296" s="455"/>
      <c r="B296" s="449"/>
      <c r="C296" s="449"/>
      <c r="D296" s="449"/>
      <c r="E296" s="467"/>
      <c r="F296" s="467"/>
      <c r="G296" s="467"/>
      <c r="H296" s="453"/>
      <c r="I296" s="445"/>
      <c r="J296" s="448"/>
      <c r="K296" s="14"/>
      <c r="L296" s="35" t="s">
        <v>83</v>
      </c>
      <c r="M296" s="102">
        <f>B374+B351</f>
        <v>3.6</v>
      </c>
    </row>
    <row r="297" spans="1:13" ht="24.75" customHeight="1">
      <c r="A297" s="469" t="s">
        <v>11</v>
      </c>
      <c r="B297" s="470"/>
      <c r="C297" s="470"/>
      <c r="D297" s="471"/>
      <c r="E297" s="128">
        <f>SUM(E298:E315)</f>
        <v>16.5</v>
      </c>
      <c r="F297" s="128">
        <f>SUM(F298:F315)</f>
        <v>18.9</v>
      </c>
      <c r="G297" s="128">
        <f>SUM(G298:G315)</f>
        <v>82.5</v>
      </c>
      <c r="H297" s="116">
        <f>SUM(H298:H315)</f>
        <v>565.9</v>
      </c>
      <c r="I297" s="128">
        <f>SUM(I298:I315)</f>
        <v>13.628</v>
      </c>
      <c r="J297" s="159"/>
      <c r="K297" s="14"/>
      <c r="L297" s="36" t="s">
        <v>126</v>
      </c>
      <c r="M297" s="102">
        <f>B376+B299+B300</f>
        <v>65.5</v>
      </c>
    </row>
    <row r="298" spans="1:35" s="3" customFormat="1" ht="24.75" customHeight="1">
      <c r="A298" s="468" t="s">
        <v>299</v>
      </c>
      <c r="B298" s="468"/>
      <c r="C298" s="468"/>
      <c r="D298" s="41" t="s">
        <v>242</v>
      </c>
      <c r="E298" s="145">
        <v>5.4</v>
      </c>
      <c r="F298" s="145">
        <v>6.8</v>
      </c>
      <c r="G298" s="145">
        <v>25</v>
      </c>
      <c r="H298" s="152">
        <f>E298*4+F298*9+G298*4</f>
        <v>182.8</v>
      </c>
      <c r="I298" s="306">
        <v>0.26</v>
      </c>
      <c r="J298" s="362" t="s">
        <v>506</v>
      </c>
      <c r="K298" s="14"/>
      <c r="L298" s="39" t="s">
        <v>330</v>
      </c>
      <c r="M298" s="106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1:24" ht="24.75" customHeight="1">
      <c r="A299" s="115" t="s">
        <v>63</v>
      </c>
      <c r="B299" s="42">
        <v>12</v>
      </c>
      <c r="C299" s="42">
        <v>12</v>
      </c>
      <c r="D299" s="42"/>
      <c r="E299" s="42"/>
      <c r="F299" s="50"/>
      <c r="G299" s="50"/>
      <c r="H299" s="42"/>
      <c r="I299" s="307"/>
      <c r="J299" s="306"/>
      <c r="K299" s="14"/>
      <c r="L299" s="35" t="s">
        <v>138</v>
      </c>
      <c r="M299" s="102">
        <f>C327</f>
        <v>4</v>
      </c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13" ht="24.75" customHeight="1">
      <c r="A300" s="115" t="s">
        <v>31</v>
      </c>
      <c r="B300" s="42">
        <v>16</v>
      </c>
      <c r="C300" s="42">
        <v>16</v>
      </c>
      <c r="D300" s="42"/>
      <c r="E300" s="42"/>
      <c r="F300" s="50"/>
      <c r="G300" s="50"/>
      <c r="H300" s="42"/>
      <c r="I300" s="307"/>
      <c r="J300" s="306"/>
      <c r="K300" s="14"/>
      <c r="L300" s="35" t="s">
        <v>84</v>
      </c>
      <c r="M300" s="102" t="e">
        <f>B320+B322+B323+#REF!+B331+B332+B342+B350+B348+B346+B364+B365+B344+#REF!+B372+B373</f>
        <v>#REF!</v>
      </c>
    </row>
    <row r="301" spans="1:13" ht="24.75" customHeight="1">
      <c r="A301" s="184" t="s">
        <v>12</v>
      </c>
      <c r="B301" s="142">
        <v>4</v>
      </c>
      <c r="C301" s="142">
        <v>4</v>
      </c>
      <c r="D301" s="142"/>
      <c r="E301" s="142"/>
      <c r="F301" s="161"/>
      <c r="G301" s="142"/>
      <c r="H301" s="142"/>
      <c r="I301" s="306"/>
      <c r="J301" s="306"/>
      <c r="K301" s="14"/>
      <c r="L301" s="35" t="s">
        <v>85</v>
      </c>
      <c r="M301" s="102">
        <f>D315</f>
        <v>180</v>
      </c>
    </row>
    <row r="302" spans="1:13" ht="24.75" customHeight="1">
      <c r="A302" s="190" t="s">
        <v>150</v>
      </c>
      <c r="B302" s="50">
        <v>1.1440000000000001</v>
      </c>
      <c r="C302" s="50">
        <v>1.1440000000000001</v>
      </c>
      <c r="D302" s="42"/>
      <c r="E302" s="42"/>
      <c r="F302" s="50"/>
      <c r="G302" s="42"/>
      <c r="H302" s="42"/>
      <c r="I302" s="307"/>
      <c r="J302" s="306"/>
      <c r="K302" s="14"/>
      <c r="L302" s="35" t="s">
        <v>127</v>
      </c>
      <c r="M302" s="102">
        <f>D360</f>
        <v>200</v>
      </c>
    </row>
    <row r="303" spans="1:13" ht="24.75" customHeight="1">
      <c r="A303" s="182" t="s">
        <v>149</v>
      </c>
      <c r="B303" s="42">
        <v>112</v>
      </c>
      <c r="C303" s="42">
        <v>112</v>
      </c>
      <c r="D303" s="42"/>
      <c r="E303" s="42"/>
      <c r="F303" s="50"/>
      <c r="G303" s="50"/>
      <c r="H303" s="42"/>
      <c r="I303" s="307"/>
      <c r="J303" s="306"/>
      <c r="K303" s="14"/>
      <c r="L303" s="35" t="s">
        <v>86</v>
      </c>
      <c r="M303" s="102">
        <f>B353</f>
        <v>20</v>
      </c>
    </row>
    <row r="304" spans="1:13" ht="24.75" customHeight="1">
      <c r="A304" s="184" t="s">
        <v>110</v>
      </c>
      <c r="B304" s="42">
        <v>77</v>
      </c>
      <c r="C304" s="42">
        <v>77</v>
      </c>
      <c r="D304" s="42"/>
      <c r="E304" s="42"/>
      <c r="F304" s="50"/>
      <c r="G304" s="50"/>
      <c r="H304" s="42"/>
      <c r="I304" s="307"/>
      <c r="J304" s="306"/>
      <c r="K304" s="14"/>
      <c r="L304" s="35" t="s">
        <v>87</v>
      </c>
      <c r="M304" s="102">
        <f>C312+B354+B381+B301</f>
        <v>36</v>
      </c>
    </row>
    <row r="305" spans="1:12" ht="24.75" customHeight="1">
      <c r="A305" s="115" t="s">
        <v>27</v>
      </c>
      <c r="B305" s="16">
        <v>5</v>
      </c>
      <c r="C305" s="16">
        <v>5</v>
      </c>
      <c r="D305" s="16"/>
      <c r="E305" s="50"/>
      <c r="F305" s="50"/>
      <c r="G305" s="50"/>
      <c r="H305" s="42"/>
      <c r="I305" s="307"/>
      <c r="J305" s="306"/>
      <c r="K305" s="10"/>
      <c r="L305" s="240" t="s">
        <v>207</v>
      </c>
    </row>
    <row r="306" spans="1:13" ht="24.75" customHeight="1">
      <c r="A306" s="468" t="s">
        <v>35</v>
      </c>
      <c r="B306" s="468"/>
      <c r="C306" s="468"/>
      <c r="D306" s="80" t="s">
        <v>216</v>
      </c>
      <c r="E306" s="145">
        <v>4.4</v>
      </c>
      <c r="F306" s="145">
        <v>3.8</v>
      </c>
      <c r="G306" s="145">
        <v>7.6</v>
      </c>
      <c r="H306" s="152">
        <v>82</v>
      </c>
      <c r="I306" s="306">
        <v>0.098</v>
      </c>
      <c r="J306" s="306" t="s">
        <v>376</v>
      </c>
      <c r="K306" s="14"/>
      <c r="L306" s="35" t="s">
        <v>128</v>
      </c>
      <c r="M306" s="102">
        <f>C310</f>
        <v>2.5</v>
      </c>
    </row>
    <row r="307" spans="1:13" ht="24.75" customHeight="1">
      <c r="A307" s="115" t="s">
        <v>356</v>
      </c>
      <c r="B307" s="16">
        <v>20</v>
      </c>
      <c r="C307" s="16">
        <v>20</v>
      </c>
      <c r="D307" s="41"/>
      <c r="E307" s="44"/>
      <c r="F307" s="44"/>
      <c r="G307" s="44"/>
      <c r="H307" s="45"/>
      <c r="I307" s="307"/>
      <c r="J307" s="306"/>
      <c r="K307" s="14"/>
      <c r="L307" s="35" t="s">
        <v>88</v>
      </c>
      <c r="M307" s="102">
        <f>B380</f>
        <v>0.4</v>
      </c>
    </row>
    <row r="308" spans="1:13" ht="24.75" customHeight="1">
      <c r="A308" s="115" t="s">
        <v>183</v>
      </c>
      <c r="B308" s="16">
        <v>16</v>
      </c>
      <c r="C308" s="16">
        <v>15</v>
      </c>
      <c r="D308" s="41"/>
      <c r="E308" s="44"/>
      <c r="F308" s="44"/>
      <c r="G308" s="44"/>
      <c r="H308" s="45"/>
      <c r="I308" s="307"/>
      <c r="J308" s="306"/>
      <c r="K308" s="14"/>
      <c r="L308" s="35" t="s">
        <v>137</v>
      </c>
      <c r="M308" s="102">
        <f>B341+B369</f>
        <v>186.44</v>
      </c>
    </row>
    <row r="309" spans="1:12" ht="24.75" customHeight="1">
      <c r="A309" s="468" t="s">
        <v>182</v>
      </c>
      <c r="B309" s="468"/>
      <c r="C309" s="468"/>
      <c r="D309" s="41">
        <v>200</v>
      </c>
      <c r="E309" s="145">
        <v>3.1</v>
      </c>
      <c r="F309" s="145">
        <v>2.9</v>
      </c>
      <c r="G309" s="145">
        <v>21.4</v>
      </c>
      <c r="H309" s="152">
        <f>E309*4+F309*9+G309*4</f>
        <v>124.1</v>
      </c>
      <c r="I309" s="306">
        <v>0.78</v>
      </c>
      <c r="J309" s="306" t="s">
        <v>365</v>
      </c>
      <c r="K309" s="14"/>
      <c r="L309" s="240" t="s">
        <v>208</v>
      </c>
    </row>
    <row r="310" spans="1:13" ht="24.75" customHeight="1">
      <c r="A310" s="115" t="s">
        <v>104</v>
      </c>
      <c r="B310" s="16">
        <v>2.5</v>
      </c>
      <c r="C310" s="16">
        <v>2.5</v>
      </c>
      <c r="D310" s="16"/>
      <c r="E310" s="50"/>
      <c r="F310" s="50"/>
      <c r="G310" s="50"/>
      <c r="H310" s="42"/>
      <c r="I310" s="307"/>
      <c r="J310" s="306"/>
      <c r="K310" s="14"/>
      <c r="L310" s="35" t="s">
        <v>89</v>
      </c>
      <c r="M310" s="102"/>
    </row>
    <row r="311" spans="1:35" s="3" customFormat="1" ht="24.75" customHeight="1">
      <c r="A311" s="182" t="s">
        <v>149</v>
      </c>
      <c r="B311" s="16">
        <v>130</v>
      </c>
      <c r="C311" s="16">
        <v>130</v>
      </c>
      <c r="D311" s="16"/>
      <c r="E311" s="50"/>
      <c r="F311" s="50"/>
      <c r="G311" s="50"/>
      <c r="H311" s="42"/>
      <c r="I311" s="307"/>
      <c r="J311" s="306"/>
      <c r="K311" s="14"/>
      <c r="L311" s="35" t="s">
        <v>130</v>
      </c>
      <c r="M311" s="102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5" s="3" customFormat="1" ht="42.75" customHeight="1">
      <c r="A312" s="184" t="s">
        <v>12</v>
      </c>
      <c r="B312" s="153">
        <v>15</v>
      </c>
      <c r="C312" s="153">
        <v>15</v>
      </c>
      <c r="D312" s="153"/>
      <c r="E312" s="161"/>
      <c r="F312" s="161"/>
      <c r="G312" s="161"/>
      <c r="H312" s="142"/>
      <c r="I312" s="306"/>
      <c r="J312" s="306"/>
      <c r="K312" s="14"/>
      <c r="L312" s="36" t="s">
        <v>131</v>
      </c>
      <c r="M312" s="102">
        <f>B303+C311</f>
        <v>242</v>
      </c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24" ht="92.25" customHeight="1">
      <c r="A313" s="408" t="s">
        <v>536</v>
      </c>
      <c r="B313" s="112">
        <v>100</v>
      </c>
      <c r="C313" s="112">
        <v>100</v>
      </c>
      <c r="D313" s="43">
        <v>100</v>
      </c>
      <c r="E313" s="54">
        <v>3.2</v>
      </c>
      <c r="F313" s="54">
        <v>5.4</v>
      </c>
      <c r="G313" s="54">
        <v>10.5</v>
      </c>
      <c r="H313" s="45">
        <f>E313*4+F313*9+G313*4</f>
        <v>103.4</v>
      </c>
      <c r="I313" s="307">
        <v>0.49</v>
      </c>
      <c r="J313" s="306"/>
      <c r="K313" s="14"/>
      <c r="L313" s="3" t="s">
        <v>331</v>
      </c>
      <c r="M313" s="3">
        <f>B385</f>
        <v>154</v>
      </c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13" ht="33" customHeight="1">
      <c r="A314" s="450" t="s">
        <v>151</v>
      </c>
      <c r="B314" s="451"/>
      <c r="C314" s="451"/>
      <c r="D314" s="451"/>
      <c r="E314" s="451"/>
      <c r="F314" s="451"/>
      <c r="G314" s="451"/>
      <c r="H314" s="451"/>
      <c r="I314" s="451"/>
      <c r="J314" s="452"/>
      <c r="K314" s="14"/>
      <c r="L314" s="35" t="s">
        <v>90</v>
      </c>
      <c r="M314" s="102">
        <f>B313</f>
        <v>100</v>
      </c>
    </row>
    <row r="315" spans="1:13" ht="24.75" customHeight="1">
      <c r="A315" s="472" t="s">
        <v>345</v>
      </c>
      <c r="B315" s="472"/>
      <c r="C315" s="472"/>
      <c r="D315" s="143">
        <v>180</v>
      </c>
      <c r="E315" s="145">
        <v>0.4</v>
      </c>
      <c r="F315" s="144">
        <v>0</v>
      </c>
      <c r="G315" s="145">
        <v>18</v>
      </c>
      <c r="H315" s="152">
        <f>E315*4+F315*9+G315*4</f>
        <v>73.6</v>
      </c>
      <c r="I315" s="306">
        <v>12</v>
      </c>
      <c r="J315" s="306"/>
      <c r="K315" s="14"/>
      <c r="L315" s="35" t="s">
        <v>91</v>
      </c>
      <c r="M315" s="102"/>
    </row>
    <row r="316" spans="1:13" ht="24.75" customHeight="1">
      <c r="A316" s="469" t="s">
        <v>18</v>
      </c>
      <c r="B316" s="470"/>
      <c r="C316" s="470"/>
      <c r="D316" s="471"/>
      <c r="E316" s="128">
        <f>SUM(E317:E356)</f>
        <v>29.8</v>
      </c>
      <c r="F316" s="128">
        <f>SUM(F317:F356)</f>
        <v>31.400000000000002</v>
      </c>
      <c r="G316" s="128">
        <f>SUM(G317:G356)</f>
        <v>87.10000000000001</v>
      </c>
      <c r="H316" s="116">
        <f>SUM(H317:H356)</f>
        <v>749.5</v>
      </c>
      <c r="I316" s="128">
        <f>SUM(I317:I356)</f>
        <v>105.70285714285714</v>
      </c>
      <c r="J316" s="159"/>
      <c r="K316" s="14"/>
      <c r="L316" s="35" t="s">
        <v>134</v>
      </c>
      <c r="M316" s="102">
        <f>B308</f>
        <v>16</v>
      </c>
    </row>
    <row r="317" spans="1:13" ht="24.75" customHeight="1">
      <c r="A317" s="468" t="s">
        <v>417</v>
      </c>
      <c r="B317" s="468"/>
      <c r="C317" s="468"/>
      <c r="D317" s="41">
        <v>70</v>
      </c>
      <c r="E317" s="145">
        <v>5.2</v>
      </c>
      <c r="F317" s="145">
        <v>8.6</v>
      </c>
      <c r="G317" s="145">
        <v>1.3</v>
      </c>
      <c r="H317" s="152">
        <f>E317*4+F317*9+G317*4</f>
        <v>103.39999999999999</v>
      </c>
      <c r="I317" s="151">
        <v>5.8</v>
      </c>
      <c r="J317" s="41" t="s">
        <v>348</v>
      </c>
      <c r="K317" s="14"/>
      <c r="L317" s="35" t="s">
        <v>92</v>
      </c>
      <c r="M317" s="102">
        <f>B305+B333+B378</f>
        <v>20.4</v>
      </c>
    </row>
    <row r="318" spans="1:13" ht="24.75" customHeight="1">
      <c r="A318" s="172" t="s">
        <v>476</v>
      </c>
      <c r="B318" s="16">
        <v>40</v>
      </c>
      <c r="C318" s="16">
        <v>40</v>
      </c>
      <c r="D318" s="170"/>
      <c r="E318" s="47"/>
      <c r="F318" s="47"/>
      <c r="G318" s="47"/>
      <c r="H318" s="99"/>
      <c r="I318" s="385"/>
      <c r="J318" s="385"/>
      <c r="K318" s="14"/>
      <c r="L318" s="35" t="s">
        <v>65</v>
      </c>
      <c r="M318" s="102">
        <f>C324+B343+B366+B371</f>
        <v>20</v>
      </c>
    </row>
    <row r="319" spans="1:13" ht="24.75" customHeight="1" thickBot="1">
      <c r="A319" s="115" t="s">
        <v>223</v>
      </c>
      <c r="B319" s="42">
        <f>C319*1.05</f>
        <v>11.55</v>
      </c>
      <c r="C319" s="16">
        <v>11</v>
      </c>
      <c r="D319" s="170"/>
      <c r="E319" s="16"/>
      <c r="F319" s="16"/>
      <c r="G319" s="16"/>
      <c r="H319" s="42"/>
      <c r="I319" s="385"/>
      <c r="J319" s="385"/>
      <c r="K319" s="14"/>
      <c r="L319" s="37" t="s">
        <v>93</v>
      </c>
      <c r="M319" s="102">
        <f>+C318</f>
        <v>40</v>
      </c>
    </row>
    <row r="320" spans="1:12" ht="24.75" customHeight="1">
      <c r="A320" s="115" t="s">
        <v>224</v>
      </c>
      <c r="B320" s="50">
        <f>C320*1.02</f>
        <v>11.22</v>
      </c>
      <c r="C320" s="16">
        <v>11</v>
      </c>
      <c r="D320" s="170"/>
      <c r="E320" s="16"/>
      <c r="F320" s="50"/>
      <c r="G320" s="50"/>
      <c r="H320" s="42"/>
      <c r="I320" s="386"/>
      <c r="J320" s="386"/>
      <c r="K320" s="14"/>
      <c r="L320" s="39" t="s">
        <v>209</v>
      </c>
    </row>
    <row r="321" spans="1:13" ht="24.75" customHeight="1">
      <c r="A321" s="115" t="s">
        <v>289</v>
      </c>
      <c r="B321" s="42">
        <f>C321*1.18</f>
        <v>12.979999999999999</v>
      </c>
      <c r="C321" s="16">
        <v>11</v>
      </c>
      <c r="D321" s="170"/>
      <c r="E321" s="16"/>
      <c r="F321" s="50"/>
      <c r="G321" s="50"/>
      <c r="H321" s="42"/>
      <c r="I321" s="385"/>
      <c r="J321" s="385"/>
      <c r="K321" s="14"/>
      <c r="L321" s="39" t="s">
        <v>219</v>
      </c>
      <c r="M321" s="244"/>
    </row>
    <row r="322" spans="1:11" ht="24.75" customHeight="1">
      <c r="A322" s="172" t="s">
        <v>222</v>
      </c>
      <c r="B322" s="42">
        <f>C322*1.02</f>
        <v>11.22</v>
      </c>
      <c r="C322" s="16">
        <v>11</v>
      </c>
      <c r="D322" s="170"/>
      <c r="E322" s="16"/>
      <c r="F322" s="50"/>
      <c r="G322" s="50"/>
      <c r="H322" s="42"/>
      <c r="I322" s="385"/>
      <c r="J322" s="385"/>
      <c r="K322" s="10"/>
    </row>
    <row r="323" spans="1:11" ht="24.75" customHeight="1">
      <c r="A323" s="115" t="s">
        <v>301</v>
      </c>
      <c r="B323" s="42">
        <f>C323*1.25</f>
        <v>5</v>
      </c>
      <c r="C323" s="16">
        <v>4</v>
      </c>
      <c r="D323" s="170"/>
      <c r="E323" s="16"/>
      <c r="F323" s="50"/>
      <c r="G323" s="50"/>
      <c r="H323" s="42"/>
      <c r="I323" s="386"/>
      <c r="J323" s="386"/>
      <c r="K323" s="14"/>
    </row>
    <row r="324" spans="1:35" ht="24.75" customHeight="1">
      <c r="A324" s="115" t="s">
        <v>20</v>
      </c>
      <c r="B324" s="16">
        <v>4</v>
      </c>
      <c r="C324" s="16">
        <v>4</v>
      </c>
      <c r="D324" s="16"/>
      <c r="E324" s="16"/>
      <c r="F324" s="50"/>
      <c r="G324" s="50"/>
      <c r="H324" s="42"/>
      <c r="I324" s="385"/>
      <c r="J324" s="385"/>
      <c r="K324" s="14"/>
      <c r="L324" s="25"/>
      <c r="M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</row>
    <row r="325" spans="1:35" ht="24.75" customHeight="1">
      <c r="A325" s="454" t="s">
        <v>562</v>
      </c>
      <c r="B325" s="454"/>
      <c r="C325" s="454"/>
      <c r="D325" s="43" t="s">
        <v>478</v>
      </c>
      <c r="E325" s="54">
        <v>5.1</v>
      </c>
      <c r="F325" s="54">
        <v>4.9</v>
      </c>
      <c r="G325" s="54">
        <v>12</v>
      </c>
      <c r="H325" s="45">
        <f>E325*4+F325*9+G325*4</f>
        <v>112.5</v>
      </c>
      <c r="I325" s="307">
        <v>0.14285714285714285</v>
      </c>
      <c r="J325" s="306" t="s">
        <v>524</v>
      </c>
      <c r="K325" s="10"/>
      <c r="L325" s="25"/>
      <c r="M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</row>
    <row r="326" spans="1:11" ht="24.75" customHeight="1">
      <c r="A326" s="123" t="s">
        <v>28</v>
      </c>
      <c r="B326" s="112">
        <v>19</v>
      </c>
      <c r="C326" s="112">
        <v>19</v>
      </c>
      <c r="D326" s="191"/>
      <c r="E326" s="191"/>
      <c r="F326" s="191"/>
      <c r="G326" s="191"/>
      <c r="H326" s="193"/>
      <c r="I326" s="321"/>
      <c r="J326" s="319"/>
      <c r="K326" s="14"/>
    </row>
    <row r="327" spans="1:11" ht="24.75" customHeight="1">
      <c r="A327" s="115" t="s">
        <v>29</v>
      </c>
      <c r="B327" s="112">
        <v>4</v>
      </c>
      <c r="C327" s="112">
        <v>4</v>
      </c>
      <c r="D327" s="191"/>
      <c r="E327" s="191"/>
      <c r="F327" s="191"/>
      <c r="G327" s="191"/>
      <c r="H327" s="191"/>
      <c r="I327" s="191"/>
      <c r="J327" s="319"/>
      <c r="K327" s="72"/>
    </row>
    <row r="328" spans="1:11" ht="24.75" customHeight="1">
      <c r="A328" s="115" t="s">
        <v>110</v>
      </c>
      <c r="B328" s="112">
        <v>5</v>
      </c>
      <c r="C328" s="112">
        <v>5</v>
      </c>
      <c r="D328" s="191"/>
      <c r="E328" s="191"/>
      <c r="F328" s="191"/>
      <c r="G328" s="191"/>
      <c r="H328" s="193"/>
      <c r="I328" s="321"/>
      <c r="J328" s="319"/>
      <c r="K328" s="61"/>
    </row>
    <row r="329" spans="1:11" ht="24.75" customHeight="1">
      <c r="A329" s="190" t="s">
        <v>150</v>
      </c>
      <c r="B329" s="112">
        <v>0.5</v>
      </c>
      <c r="C329" s="112">
        <v>0.5</v>
      </c>
      <c r="D329" s="191"/>
      <c r="E329" s="191"/>
      <c r="F329" s="192"/>
      <c r="G329" s="192"/>
      <c r="H329" s="193"/>
      <c r="I329" s="321"/>
      <c r="J329" s="319"/>
      <c r="K329" s="14"/>
    </row>
    <row r="330" spans="1:11" ht="24.75" customHeight="1">
      <c r="A330" s="141" t="s">
        <v>171</v>
      </c>
      <c r="B330" s="112">
        <v>20</v>
      </c>
      <c r="C330" s="112">
        <v>20</v>
      </c>
      <c r="D330" s="191"/>
      <c r="E330" s="191"/>
      <c r="F330" s="191"/>
      <c r="G330" s="191"/>
      <c r="H330" s="193"/>
      <c r="I330" s="321"/>
      <c r="J330" s="319"/>
      <c r="K330" s="14"/>
    </row>
    <row r="331" spans="1:11" ht="24.75" customHeight="1">
      <c r="A331" s="123" t="s">
        <v>25</v>
      </c>
      <c r="B331" s="140">
        <f>C331*1.25</f>
        <v>12.5</v>
      </c>
      <c r="C331" s="112">
        <v>10</v>
      </c>
      <c r="D331" s="191"/>
      <c r="E331" s="191"/>
      <c r="F331" s="192"/>
      <c r="G331" s="192"/>
      <c r="H331" s="193"/>
      <c r="I331" s="321"/>
      <c r="J331" s="319"/>
      <c r="K331" s="14"/>
    </row>
    <row r="332" spans="1:11" ht="24.75" customHeight="1">
      <c r="A332" s="123" t="s">
        <v>19</v>
      </c>
      <c r="B332" s="94">
        <f>C332*1.33</f>
        <v>13.3</v>
      </c>
      <c r="C332" s="112">
        <v>10</v>
      </c>
      <c r="D332" s="191"/>
      <c r="E332" s="191"/>
      <c r="F332" s="192"/>
      <c r="G332" s="192"/>
      <c r="H332" s="193"/>
      <c r="I332" s="321"/>
      <c r="J332" s="319"/>
      <c r="K332" s="14"/>
    </row>
    <row r="333" spans="1:11" ht="24.75" customHeight="1">
      <c r="A333" s="123" t="s">
        <v>26</v>
      </c>
      <c r="B333" s="94">
        <f>C333*1.19</f>
        <v>11.899999999999999</v>
      </c>
      <c r="C333" s="112">
        <v>10</v>
      </c>
      <c r="D333" s="191"/>
      <c r="E333" s="191"/>
      <c r="F333" s="192"/>
      <c r="G333" s="192"/>
      <c r="H333" s="193"/>
      <c r="I333" s="321"/>
      <c r="J333" s="319"/>
      <c r="K333" s="14"/>
    </row>
    <row r="334" spans="1:11" ht="24.75" customHeight="1">
      <c r="A334" s="432" t="s">
        <v>52</v>
      </c>
      <c r="B334" s="23">
        <v>16</v>
      </c>
      <c r="C334" s="42">
        <v>14</v>
      </c>
      <c r="D334" s="42"/>
      <c r="E334" s="42"/>
      <c r="F334" s="50"/>
      <c r="G334" s="50"/>
      <c r="H334" s="42"/>
      <c r="I334" s="307"/>
      <c r="J334" s="306"/>
      <c r="K334" s="14"/>
    </row>
    <row r="335" spans="1:11" ht="24.75" customHeight="1">
      <c r="A335" s="123" t="s">
        <v>27</v>
      </c>
      <c r="B335" s="112">
        <v>6</v>
      </c>
      <c r="C335" s="112">
        <v>6</v>
      </c>
      <c r="D335" s="191"/>
      <c r="E335" s="192"/>
      <c r="F335" s="192"/>
      <c r="G335" s="192"/>
      <c r="H335" s="193"/>
      <c r="I335" s="321"/>
      <c r="J335" s="319"/>
      <c r="K335" s="14"/>
    </row>
    <row r="336" spans="1:11" ht="24.75" customHeight="1">
      <c r="A336" s="123" t="s">
        <v>70</v>
      </c>
      <c r="B336" s="94">
        <f>C336*1.35</f>
        <v>4.050000000000001</v>
      </c>
      <c r="C336" s="94">
        <v>3</v>
      </c>
      <c r="D336" s="193"/>
      <c r="E336" s="191"/>
      <c r="F336" s="140"/>
      <c r="G336" s="140"/>
      <c r="H336" s="94"/>
      <c r="I336" s="316"/>
      <c r="J336" s="317"/>
      <c r="K336" s="14"/>
    </row>
    <row r="337" spans="1:11" ht="24.75" customHeight="1">
      <c r="A337" s="123"/>
      <c r="B337" s="94"/>
      <c r="C337" s="112"/>
      <c r="D337" s="94"/>
      <c r="E337" s="140"/>
      <c r="F337" s="140"/>
      <c r="G337" s="140"/>
      <c r="H337" s="94"/>
      <c r="I337" s="316"/>
      <c r="J337" s="317"/>
      <c r="K337" s="14"/>
    </row>
    <row r="338" spans="1:11" ht="24.75" customHeight="1">
      <c r="A338" s="123"/>
      <c r="B338" s="94"/>
      <c r="C338" s="112"/>
      <c r="D338" s="94"/>
      <c r="E338" s="140"/>
      <c r="F338" s="140"/>
      <c r="G338" s="140"/>
      <c r="H338" s="94"/>
      <c r="I338" s="316"/>
      <c r="J338" s="317"/>
      <c r="K338" s="14"/>
    </row>
    <row r="339" spans="1:11" ht="24.75" customHeight="1">
      <c r="A339" s="481" t="s">
        <v>310</v>
      </c>
      <c r="B339" s="481"/>
      <c r="C339" s="481"/>
      <c r="D339" s="151">
        <v>240</v>
      </c>
      <c r="E339" s="145">
        <v>11.5</v>
      </c>
      <c r="F339" s="145">
        <v>16.3</v>
      </c>
      <c r="G339" s="145">
        <v>19.6</v>
      </c>
      <c r="H339" s="152">
        <f>G339*4+F339*9+E339*4</f>
        <v>271.1</v>
      </c>
      <c r="I339" s="306">
        <v>19.76</v>
      </c>
      <c r="J339" s="306" t="s">
        <v>366</v>
      </c>
      <c r="K339" s="10"/>
    </row>
    <row r="340" spans="1:11" ht="24.75" customHeight="1">
      <c r="A340" s="195" t="s">
        <v>62</v>
      </c>
      <c r="B340" s="196">
        <f>C340*1.36</f>
        <v>107.44000000000001</v>
      </c>
      <c r="C340" s="183">
        <v>79</v>
      </c>
      <c r="D340" s="91"/>
      <c r="E340" s="183"/>
      <c r="F340" s="200"/>
      <c r="G340" s="200"/>
      <c r="H340" s="201"/>
      <c r="I340" s="309"/>
      <c r="J340" s="317"/>
      <c r="K340" s="10"/>
    </row>
    <row r="341" spans="1:11" ht="24.75" customHeight="1">
      <c r="A341" s="117" t="s">
        <v>74</v>
      </c>
      <c r="B341" s="196">
        <f>C341*1.18</f>
        <v>93.22</v>
      </c>
      <c r="C341" s="183">
        <v>79</v>
      </c>
      <c r="D341" s="91"/>
      <c r="E341" s="183"/>
      <c r="F341" s="183"/>
      <c r="G341" s="183"/>
      <c r="H341" s="201"/>
      <c r="I341" s="309"/>
      <c r="J341" s="317"/>
      <c r="K341" s="10"/>
    </row>
    <row r="342" spans="1:11" ht="24.75" customHeight="1">
      <c r="A342" s="202" t="s">
        <v>26</v>
      </c>
      <c r="B342" s="94">
        <f>C342*1.19</f>
        <v>42.839999999999996</v>
      </c>
      <c r="C342" s="199">
        <v>36</v>
      </c>
      <c r="D342" s="91"/>
      <c r="E342" s="183"/>
      <c r="F342" s="200"/>
      <c r="G342" s="200"/>
      <c r="H342" s="201"/>
      <c r="I342" s="309"/>
      <c r="J342" s="317"/>
      <c r="K342" s="14"/>
    </row>
    <row r="343" spans="1:11" ht="24.75" customHeight="1">
      <c r="A343" s="202" t="s">
        <v>20</v>
      </c>
      <c r="B343" s="199">
        <v>8</v>
      </c>
      <c r="C343" s="199">
        <v>8</v>
      </c>
      <c r="D343" s="91"/>
      <c r="E343" s="183"/>
      <c r="F343" s="200"/>
      <c r="G343" s="183"/>
      <c r="H343" s="187"/>
      <c r="I343" s="317"/>
      <c r="J343" s="317"/>
      <c r="K343" s="14"/>
    </row>
    <row r="344" spans="1:11" ht="24.75" customHeight="1">
      <c r="A344" s="202" t="s">
        <v>122</v>
      </c>
      <c r="B344" s="94">
        <f>C344*1.02</f>
        <v>36.72</v>
      </c>
      <c r="C344" s="199">
        <v>36</v>
      </c>
      <c r="D344" s="91"/>
      <c r="E344" s="183"/>
      <c r="F344" s="200"/>
      <c r="G344" s="183"/>
      <c r="H344" s="187"/>
      <c r="I344" s="317"/>
      <c r="J344" s="317"/>
      <c r="K344" s="14"/>
    </row>
    <row r="345" spans="1:11" ht="24.75" customHeight="1">
      <c r="A345" s="435" t="s">
        <v>568</v>
      </c>
      <c r="B345" s="94">
        <f>C345*1.18</f>
        <v>42.48</v>
      </c>
      <c r="C345" s="199">
        <v>36</v>
      </c>
      <c r="D345" s="91"/>
      <c r="E345" s="183"/>
      <c r="F345" s="200"/>
      <c r="G345" s="183"/>
      <c r="H345" s="187"/>
      <c r="I345" s="317"/>
      <c r="J345" s="317"/>
      <c r="K345" s="14"/>
    </row>
    <row r="346" spans="1:11" ht="24.75" customHeight="1">
      <c r="A346" s="123" t="s">
        <v>46</v>
      </c>
      <c r="B346" s="94">
        <f>C346*1.25</f>
        <v>210</v>
      </c>
      <c r="C346" s="42">
        <v>168</v>
      </c>
      <c r="D346" s="42"/>
      <c r="E346" s="16"/>
      <c r="F346" s="200"/>
      <c r="G346" s="200"/>
      <c r="H346" s="42"/>
      <c r="I346" s="307"/>
      <c r="J346" s="306"/>
      <c r="K346" s="14"/>
    </row>
    <row r="347" spans="1:11" ht="24.75" customHeight="1">
      <c r="A347" s="115" t="s">
        <v>25</v>
      </c>
      <c r="B347" s="94">
        <f>C347*1.25</f>
        <v>10</v>
      </c>
      <c r="C347" s="42">
        <v>8</v>
      </c>
      <c r="D347" s="42"/>
      <c r="E347" s="16"/>
      <c r="F347" s="200"/>
      <c r="G347" s="200"/>
      <c r="H347" s="42"/>
      <c r="I347" s="307"/>
      <c r="J347" s="306"/>
      <c r="K347" s="14"/>
    </row>
    <row r="348" spans="1:11" ht="24.75" customHeight="1">
      <c r="A348" s="115" t="s">
        <v>19</v>
      </c>
      <c r="B348" s="94">
        <f>C348*1.33</f>
        <v>10.64</v>
      </c>
      <c r="C348" s="42">
        <v>8</v>
      </c>
      <c r="D348" s="42"/>
      <c r="E348" s="16"/>
      <c r="F348" s="200"/>
      <c r="G348" s="200"/>
      <c r="H348" s="42"/>
      <c r="I348" s="307"/>
      <c r="J348" s="306"/>
      <c r="K348" s="14"/>
    </row>
    <row r="349" spans="1:11" ht="24.75" customHeight="1">
      <c r="A349" s="202" t="s">
        <v>26</v>
      </c>
      <c r="B349" s="140">
        <f>C349*1.19</f>
        <v>4.284</v>
      </c>
      <c r="C349" s="199">
        <v>3.6</v>
      </c>
      <c r="D349" s="91"/>
      <c r="E349" s="183"/>
      <c r="F349" s="200"/>
      <c r="G349" s="200"/>
      <c r="H349" s="201"/>
      <c r="I349" s="309"/>
      <c r="J349" s="317"/>
      <c r="K349" s="14"/>
    </row>
    <row r="350" spans="1:11" ht="24.75" customHeight="1">
      <c r="A350" s="141" t="s">
        <v>215</v>
      </c>
      <c r="B350" s="199">
        <v>5</v>
      </c>
      <c r="C350" s="199">
        <v>5</v>
      </c>
      <c r="D350" s="91"/>
      <c r="E350" s="183"/>
      <c r="F350" s="200"/>
      <c r="G350" s="200"/>
      <c r="H350" s="201"/>
      <c r="I350" s="309"/>
      <c r="J350" s="317"/>
      <c r="K350" s="14"/>
    </row>
    <row r="351" spans="1:11" ht="24.75" customHeight="1">
      <c r="A351" s="123" t="s">
        <v>28</v>
      </c>
      <c r="B351" s="199">
        <v>1.1</v>
      </c>
      <c r="C351" s="199">
        <v>1.1</v>
      </c>
      <c r="D351" s="91"/>
      <c r="E351" s="183"/>
      <c r="F351" s="200"/>
      <c r="G351" s="200"/>
      <c r="H351" s="201"/>
      <c r="I351" s="309"/>
      <c r="J351" s="317"/>
      <c r="K351" s="14"/>
    </row>
    <row r="352" spans="1:11" ht="24.75" customHeight="1">
      <c r="A352" s="461" t="s">
        <v>101</v>
      </c>
      <c r="B352" s="461"/>
      <c r="C352" s="461"/>
      <c r="D352" s="151">
        <v>200</v>
      </c>
      <c r="E352" s="220">
        <v>0.6</v>
      </c>
      <c r="F352" s="220">
        <v>0.3</v>
      </c>
      <c r="G352" s="220">
        <v>18.5</v>
      </c>
      <c r="H352" s="152">
        <f>E352*4+F352*9+G352*4</f>
        <v>79.1</v>
      </c>
      <c r="I352" s="306">
        <v>80</v>
      </c>
      <c r="J352" s="362" t="s">
        <v>490</v>
      </c>
      <c r="K352" s="14"/>
    </row>
    <row r="353" spans="1:11" ht="24.75" customHeight="1">
      <c r="A353" s="129" t="s">
        <v>106</v>
      </c>
      <c r="B353" s="93">
        <v>20</v>
      </c>
      <c r="C353" s="93">
        <v>20</v>
      </c>
      <c r="D353" s="262"/>
      <c r="E353" s="220"/>
      <c r="F353" s="220"/>
      <c r="G353" s="220"/>
      <c r="H353" s="152"/>
      <c r="I353" s="306"/>
      <c r="J353" s="306"/>
      <c r="K353" s="14"/>
    </row>
    <row r="354" spans="1:11" ht="36.75" customHeight="1">
      <c r="A354" s="184" t="s">
        <v>12</v>
      </c>
      <c r="B354" s="183">
        <v>5</v>
      </c>
      <c r="C354" s="183">
        <v>5</v>
      </c>
      <c r="D354" s="354"/>
      <c r="E354" s="354"/>
      <c r="F354" s="354"/>
      <c r="G354" s="354"/>
      <c r="H354" s="354"/>
      <c r="I354" s="354"/>
      <c r="J354" s="355"/>
      <c r="K354" s="14"/>
    </row>
    <row r="355" spans="1:11" ht="33.75" customHeight="1">
      <c r="A355" s="461" t="s">
        <v>258</v>
      </c>
      <c r="B355" s="461"/>
      <c r="C355" s="461"/>
      <c r="D355" s="151">
        <v>50</v>
      </c>
      <c r="E355" s="145">
        <v>4.1</v>
      </c>
      <c r="F355" s="145">
        <v>0.7</v>
      </c>
      <c r="G355" s="145">
        <v>19</v>
      </c>
      <c r="H355" s="152">
        <v>98</v>
      </c>
      <c r="I355" s="306">
        <v>0</v>
      </c>
      <c r="J355" s="306"/>
      <c r="K355" s="14"/>
    </row>
    <row r="356" spans="1:11" ht="24.75" customHeight="1">
      <c r="A356" s="461" t="s">
        <v>72</v>
      </c>
      <c r="B356" s="461"/>
      <c r="C356" s="461"/>
      <c r="D356" s="151">
        <v>50</v>
      </c>
      <c r="E356" s="145">
        <v>3.3</v>
      </c>
      <c r="F356" s="145">
        <v>0.6</v>
      </c>
      <c r="G356" s="145">
        <v>16.7</v>
      </c>
      <c r="H356" s="152">
        <v>85.39999999999999</v>
      </c>
      <c r="I356" s="306">
        <v>0</v>
      </c>
      <c r="J356" s="306"/>
      <c r="K356" s="14"/>
    </row>
    <row r="357" spans="1:11" ht="24.75" customHeight="1">
      <c r="A357" s="466" t="s">
        <v>61</v>
      </c>
      <c r="B357" s="466"/>
      <c r="C357" s="466"/>
      <c r="D357" s="466"/>
      <c r="E357" s="128">
        <f>E358+E360</f>
        <v>1.6</v>
      </c>
      <c r="F357" s="128">
        <f>F358+F360</f>
        <v>1.6</v>
      </c>
      <c r="G357" s="128">
        <f>G358+G360</f>
        <v>68.6</v>
      </c>
      <c r="H357" s="116">
        <f>H358+H360</f>
        <v>295.20000000000005</v>
      </c>
      <c r="I357" s="128">
        <f>I358+I360</f>
        <v>19</v>
      </c>
      <c r="J357" s="159"/>
      <c r="K357" s="89"/>
    </row>
    <row r="358" spans="1:11" ht="30.75" customHeight="1">
      <c r="A358" s="462" t="s">
        <v>559</v>
      </c>
      <c r="B358" s="462"/>
      <c r="C358" s="462"/>
      <c r="D358" s="143">
        <v>90</v>
      </c>
      <c r="E358" s="144">
        <v>1.5</v>
      </c>
      <c r="F358" s="144">
        <v>1.6</v>
      </c>
      <c r="G358" s="144">
        <v>46.6</v>
      </c>
      <c r="H358" s="152">
        <f>E358*4+F358*9+G358*4</f>
        <v>206.8</v>
      </c>
      <c r="I358" s="306">
        <v>0</v>
      </c>
      <c r="J358" s="306"/>
      <c r="K358" s="89"/>
    </row>
    <row r="359" spans="1:11" ht="48.75" customHeight="1">
      <c r="A359" s="463" t="s">
        <v>399</v>
      </c>
      <c r="B359" s="464"/>
      <c r="C359" s="465"/>
      <c r="D359" s="143"/>
      <c r="E359" s="54"/>
      <c r="F359" s="54"/>
      <c r="G359" s="54"/>
      <c r="H359" s="45"/>
      <c r="I359" s="307"/>
      <c r="J359" s="306"/>
      <c r="K359" s="14"/>
    </row>
    <row r="360" spans="1:24" ht="24.75" customHeight="1">
      <c r="A360" s="482" t="s">
        <v>504</v>
      </c>
      <c r="B360" s="482"/>
      <c r="C360" s="482"/>
      <c r="D360" s="143">
        <v>200</v>
      </c>
      <c r="E360" s="143">
        <v>0.1</v>
      </c>
      <c r="F360" s="144">
        <v>0</v>
      </c>
      <c r="G360" s="144">
        <v>22</v>
      </c>
      <c r="H360" s="152">
        <f>E360*4+F360*9+G360*4</f>
        <v>88.4</v>
      </c>
      <c r="I360" s="317">
        <v>19</v>
      </c>
      <c r="J360" s="317" t="s">
        <v>503</v>
      </c>
      <c r="K360" s="89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11" ht="24.75" customHeight="1">
      <c r="A361" s="466" t="s">
        <v>30</v>
      </c>
      <c r="B361" s="466"/>
      <c r="C361" s="466"/>
      <c r="D361" s="466"/>
      <c r="E361" s="128">
        <f>E362+E367+E375+E379+E382+E383+E385</f>
        <v>19</v>
      </c>
      <c r="F361" s="128">
        <f>F362+F367+F375+F379+F382+F383+F385</f>
        <v>17.720000000000002</v>
      </c>
      <c r="G361" s="128">
        <f>G362+G367+G375+G379+G382+G383+G385</f>
        <v>63.42</v>
      </c>
      <c r="H361" s="116">
        <f>H362+H367+H375+H379+H382+H383+H385</f>
        <v>488.88</v>
      </c>
      <c r="I361" s="128">
        <f>I362+I367+I375+I379+I382+I383+I385</f>
        <v>11.399999999999999</v>
      </c>
      <c r="J361" s="159"/>
      <c r="K361" s="89"/>
    </row>
    <row r="362" spans="1:11" ht="24.75" customHeight="1">
      <c r="A362" s="46" t="s">
        <v>418</v>
      </c>
      <c r="B362" s="16"/>
      <c r="C362" s="16"/>
      <c r="D362" s="41">
        <v>70</v>
      </c>
      <c r="E362" s="145">
        <v>0.6</v>
      </c>
      <c r="F362" s="145">
        <v>4</v>
      </c>
      <c r="G362" s="145">
        <v>1.8</v>
      </c>
      <c r="H362" s="152">
        <f>E362*4+F362*9+G362*4</f>
        <v>45.6</v>
      </c>
      <c r="I362" s="306">
        <v>10.2</v>
      </c>
      <c r="J362" s="306" t="s">
        <v>419</v>
      </c>
      <c r="K362" s="89"/>
    </row>
    <row r="363" spans="1:11" ht="12.75" customHeight="1">
      <c r="A363" s="115" t="s">
        <v>163</v>
      </c>
      <c r="B363" s="187">
        <f>C363*1.02</f>
        <v>66.3</v>
      </c>
      <c r="C363" s="183">
        <v>65</v>
      </c>
      <c r="D363" s="142"/>
      <c r="E363" s="161"/>
      <c r="F363" s="161"/>
      <c r="G363" s="161"/>
      <c r="H363" s="142"/>
      <c r="I363" s="306"/>
      <c r="J363" s="306"/>
      <c r="K363" s="72"/>
    </row>
    <row r="364" spans="1:11" ht="17.25" customHeight="1">
      <c r="A364" s="115" t="s">
        <v>226</v>
      </c>
      <c r="B364" s="187">
        <f>C364*1.18</f>
        <v>76.7</v>
      </c>
      <c r="C364" s="183">
        <v>65</v>
      </c>
      <c r="D364" s="142"/>
      <c r="E364" s="161"/>
      <c r="F364" s="161"/>
      <c r="G364" s="161"/>
      <c r="H364" s="142"/>
      <c r="I364" s="306"/>
      <c r="J364" s="306"/>
      <c r="K364" s="13"/>
    </row>
    <row r="365" spans="1:11" ht="17.25" customHeight="1">
      <c r="A365" s="123" t="s">
        <v>70</v>
      </c>
      <c r="B365" s="94">
        <v>2</v>
      </c>
      <c r="C365" s="112">
        <v>1</v>
      </c>
      <c r="D365" s="42"/>
      <c r="E365" s="50"/>
      <c r="F365" s="50"/>
      <c r="G365" s="50"/>
      <c r="H365" s="42"/>
      <c r="I365" s="307"/>
      <c r="J365" s="306"/>
      <c r="K365" s="60"/>
    </row>
    <row r="366" spans="1:11" ht="15.75" customHeight="1">
      <c r="A366" s="123" t="s">
        <v>20</v>
      </c>
      <c r="B366" s="94">
        <v>4</v>
      </c>
      <c r="C366" s="112">
        <v>4</v>
      </c>
      <c r="D366" s="42"/>
      <c r="E366" s="50"/>
      <c r="F366" s="50"/>
      <c r="G366" s="50"/>
      <c r="H366" s="42"/>
      <c r="I366" s="307"/>
      <c r="J366" s="306"/>
      <c r="K366" s="11"/>
    </row>
    <row r="367" spans="1:11" ht="18" customHeight="1">
      <c r="A367" s="468" t="s">
        <v>420</v>
      </c>
      <c r="B367" s="468"/>
      <c r="C367" s="468"/>
      <c r="D367" s="41">
        <v>90</v>
      </c>
      <c r="E367" s="44">
        <v>8.4</v>
      </c>
      <c r="F367" s="44">
        <v>6.3</v>
      </c>
      <c r="G367" s="44">
        <v>5.4</v>
      </c>
      <c r="H367" s="45">
        <f>E367*4+F367*9+G367*4</f>
        <v>111.9</v>
      </c>
      <c r="I367" s="307">
        <v>0.18</v>
      </c>
      <c r="J367" s="306" t="s">
        <v>422</v>
      </c>
      <c r="K367" s="11"/>
    </row>
    <row r="368" spans="1:11" ht="15.75" customHeight="1">
      <c r="A368" s="158" t="s">
        <v>62</v>
      </c>
      <c r="B368" s="247">
        <f>C368*1.35</f>
        <v>106.65</v>
      </c>
      <c r="C368" s="16">
        <v>79</v>
      </c>
      <c r="D368" s="16"/>
      <c r="E368" s="50"/>
      <c r="F368" s="50"/>
      <c r="G368" s="50"/>
      <c r="H368" s="42"/>
      <c r="I368" s="385"/>
      <c r="J368" s="381"/>
      <c r="K368" s="10"/>
    </row>
    <row r="369" spans="1:11" ht="24.75" customHeight="1">
      <c r="A369" s="158" t="s">
        <v>74</v>
      </c>
      <c r="B369" s="23">
        <f>C369*1.18</f>
        <v>93.22</v>
      </c>
      <c r="C369" s="16">
        <v>79</v>
      </c>
      <c r="D369" s="16"/>
      <c r="E369" s="50"/>
      <c r="F369" s="50"/>
      <c r="G369" s="50"/>
      <c r="H369" s="42"/>
      <c r="I369" s="385"/>
      <c r="J369" s="381"/>
      <c r="K369" s="10"/>
    </row>
    <row r="370" spans="1:11" ht="24.75" customHeight="1">
      <c r="A370" s="139" t="s">
        <v>246</v>
      </c>
      <c r="B370" s="142"/>
      <c r="C370" s="153">
        <v>50</v>
      </c>
      <c r="D370" s="153"/>
      <c r="E370" s="161"/>
      <c r="F370" s="161"/>
      <c r="G370" s="161"/>
      <c r="H370" s="142"/>
      <c r="I370" s="381"/>
      <c r="J370" s="381"/>
      <c r="K370" s="10"/>
    </row>
    <row r="371" spans="1:11" ht="24.75" customHeight="1">
      <c r="A371" s="115" t="s">
        <v>20</v>
      </c>
      <c r="B371" s="16">
        <v>4</v>
      </c>
      <c r="C371" s="16">
        <v>4</v>
      </c>
      <c r="D371" s="16"/>
      <c r="E371" s="50"/>
      <c r="F371" s="50"/>
      <c r="G371" s="50"/>
      <c r="H371" s="42"/>
      <c r="I371" s="385"/>
      <c r="J371" s="381"/>
      <c r="K371" s="10"/>
    </row>
    <row r="372" spans="1:11" ht="24.75" customHeight="1">
      <c r="A372" s="115" t="s">
        <v>26</v>
      </c>
      <c r="B372" s="142">
        <f>C372*1.19</f>
        <v>11.899999999999999</v>
      </c>
      <c r="C372" s="16">
        <v>10</v>
      </c>
      <c r="D372" s="16"/>
      <c r="E372" s="50"/>
      <c r="F372" s="50"/>
      <c r="G372" s="50"/>
      <c r="H372" s="42"/>
      <c r="I372" s="385"/>
      <c r="J372" s="381"/>
      <c r="K372" s="10"/>
    </row>
    <row r="373" spans="1:35" s="3" customFormat="1" ht="24.75" customHeight="1">
      <c r="A373" s="172" t="s">
        <v>421</v>
      </c>
      <c r="B373" s="16">
        <v>3</v>
      </c>
      <c r="C373" s="16">
        <v>3</v>
      </c>
      <c r="D373" s="16"/>
      <c r="E373" s="50"/>
      <c r="F373" s="50"/>
      <c r="G373" s="50"/>
      <c r="H373" s="42"/>
      <c r="I373" s="385"/>
      <c r="J373" s="385"/>
      <c r="K373" s="11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1:24" ht="33.75" customHeight="1">
      <c r="A374" s="115" t="s">
        <v>28</v>
      </c>
      <c r="B374" s="16">
        <v>2.5</v>
      </c>
      <c r="C374" s="16">
        <v>2.5</v>
      </c>
      <c r="D374" s="16"/>
      <c r="E374" s="50"/>
      <c r="F374" s="50"/>
      <c r="G374" s="50"/>
      <c r="H374" s="42"/>
      <c r="I374" s="385"/>
      <c r="J374" s="385"/>
      <c r="K374" s="11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11" ht="31.5" customHeight="1">
      <c r="A375" s="468" t="s">
        <v>339</v>
      </c>
      <c r="B375" s="468"/>
      <c r="C375" s="468"/>
      <c r="D375" s="41">
        <v>150</v>
      </c>
      <c r="E375" s="44">
        <v>3.6</v>
      </c>
      <c r="F375" s="44">
        <v>3.3</v>
      </c>
      <c r="G375" s="44">
        <v>25</v>
      </c>
      <c r="H375" s="45">
        <f>E375*4+F375*9+G375*4</f>
        <v>144.1</v>
      </c>
      <c r="I375" s="307">
        <v>0</v>
      </c>
      <c r="J375" s="306" t="s">
        <v>508</v>
      </c>
      <c r="K375" s="11"/>
    </row>
    <row r="376" spans="1:11" ht="32.25" customHeight="1">
      <c r="A376" s="115" t="s">
        <v>112</v>
      </c>
      <c r="B376" s="140">
        <v>37.5</v>
      </c>
      <c r="C376" s="140">
        <v>37.5</v>
      </c>
      <c r="D376" s="94"/>
      <c r="E376" s="112"/>
      <c r="F376" s="112"/>
      <c r="G376" s="112"/>
      <c r="H376" s="94"/>
      <c r="I376" s="316"/>
      <c r="J376" s="317"/>
      <c r="K376" s="11"/>
    </row>
    <row r="377" spans="1:11" ht="32.25" customHeight="1">
      <c r="A377" s="115" t="s">
        <v>110</v>
      </c>
      <c r="B377" s="94">
        <v>120</v>
      </c>
      <c r="C377" s="94">
        <v>120</v>
      </c>
      <c r="D377" s="94"/>
      <c r="E377" s="112"/>
      <c r="F377" s="112"/>
      <c r="G377" s="112"/>
      <c r="H377" s="94"/>
      <c r="I377" s="316"/>
      <c r="J377" s="317"/>
      <c r="K377" s="11"/>
    </row>
    <row r="378" spans="1:11" ht="24.75" customHeight="1">
      <c r="A378" s="184" t="s">
        <v>27</v>
      </c>
      <c r="B378" s="183">
        <v>3.5</v>
      </c>
      <c r="C378" s="183">
        <v>3.5</v>
      </c>
      <c r="D378" s="188"/>
      <c r="E378" s="183"/>
      <c r="F378" s="183"/>
      <c r="G378" s="183"/>
      <c r="H378" s="187"/>
      <c r="I378" s="317"/>
      <c r="J378" s="317"/>
      <c r="K378" s="11"/>
    </row>
    <row r="379" spans="1:11" ht="24.75" customHeight="1">
      <c r="A379" s="468" t="s">
        <v>37</v>
      </c>
      <c r="B379" s="468"/>
      <c r="C379" s="468"/>
      <c r="D379" s="41">
        <v>200</v>
      </c>
      <c r="E379" s="44">
        <v>0.2</v>
      </c>
      <c r="F379" s="44">
        <v>0</v>
      </c>
      <c r="G379" s="44">
        <v>10.9</v>
      </c>
      <c r="H379" s="152">
        <f>E379*4+F379*9+G379*4</f>
        <v>44.4</v>
      </c>
      <c r="I379" s="307">
        <v>0</v>
      </c>
      <c r="J379" s="306" t="s">
        <v>353</v>
      </c>
      <c r="K379" s="11"/>
    </row>
    <row r="380" spans="1:11" ht="24.75" customHeight="1">
      <c r="A380" s="115" t="s">
        <v>16</v>
      </c>
      <c r="B380" s="16">
        <v>0.4</v>
      </c>
      <c r="C380" s="16">
        <v>0.4</v>
      </c>
      <c r="D380" s="16"/>
      <c r="E380" s="50"/>
      <c r="F380" s="50"/>
      <c r="G380" s="50"/>
      <c r="H380" s="42"/>
      <c r="I380" s="307"/>
      <c r="J380" s="306"/>
      <c r="K380" s="11"/>
    </row>
    <row r="381" spans="1:11" ht="24.75" customHeight="1">
      <c r="A381" s="139" t="s">
        <v>161</v>
      </c>
      <c r="B381" s="153">
        <v>12</v>
      </c>
      <c r="C381" s="153">
        <v>12</v>
      </c>
      <c r="D381" s="153"/>
      <c r="E381" s="161"/>
      <c r="F381" s="161"/>
      <c r="G381" s="161"/>
      <c r="H381" s="142"/>
      <c r="I381" s="306"/>
      <c r="J381" s="306"/>
      <c r="K381" s="14"/>
    </row>
    <row r="382" spans="1:11" ht="24.75" customHeight="1">
      <c r="A382" s="461" t="s">
        <v>72</v>
      </c>
      <c r="B382" s="461"/>
      <c r="C382" s="461"/>
      <c r="D382" s="151">
        <v>20</v>
      </c>
      <c r="E382" s="145">
        <v>1.36</v>
      </c>
      <c r="F382" s="145">
        <v>0.24</v>
      </c>
      <c r="G382" s="145">
        <v>6.72</v>
      </c>
      <c r="H382" s="152">
        <v>34.48</v>
      </c>
      <c r="I382" s="306">
        <v>0</v>
      </c>
      <c r="J382" s="306"/>
      <c r="K382" s="14"/>
    </row>
    <row r="383" spans="1:11" ht="24.75" customHeight="1">
      <c r="A383" s="461" t="s">
        <v>258</v>
      </c>
      <c r="B383" s="461"/>
      <c r="C383" s="461"/>
      <c r="D383" s="151">
        <v>20</v>
      </c>
      <c r="E383" s="145">
        <v>1.64</v>
      </c>
      <c r="F383" s="145">
        <v>0.28</v>
      </c>
      <c r="G383" s="145">
        <v>7.6</v>
      </c>
      <c r="H383" s="152">
        <v>39.2</v>
      </c>
      <c r="I383" s="306">
        <v>0</v>
      </c>
      <c r="J383" s="306"/>
      <c r="K383" s="1"/>
    </row>
    <row r="384" spans="1:11" ht="32.25" customHeight="1">
      <c r="A384" s="466" t="s">
        <v>232</v>
      </c>
      <c r="B384" s="466"/>
      <c r="C384" s="466"/>
      <c r="D384" s="466"/>
      <c r="E384" s="466"/>
      <c r="F384" s="466"/>
      <c r="G384" s="466"/>
      <c r="H384" s="466"/>
      <c r="I384" s="466"/>
      <c r="J384" s="466"/>
      <c r="K384" s="1"/>
    </row>
    <row r="385" spans="1:11" ht="24.75" customHeight="1">
      <c r="A385" s="274" t="s">
        <v>257</v>
      </c>
      <c r="B385" s="16">
        <v>154</v>
      </c>
      <c r="C385" s="112">
        <v>150</v>
      </c>
      <c r="D385" s="41">
        <v>150</v>
      </c>
      <c r="E385" s="44">
        <v>3.2</v>
      </c>
      <c r="F385" s="44">
        <v>3.6</v>
      </c>
      <c r="G385" s="44">
        <v>6</v>
      </c>
      <c r="H385" s="45">
        <f>E385*4+F385*9+G385*4</f>
        <v>69.2</v>
      </c>
      <c r="I385" s="307">
        <v>1.02</v>
      </c>
      <c r="J385" s="306" t="s">
        <v>372</v>
      </c>
      <c r="K385" s="1"/>
    </row>
    <row r="386" spans="1:11" ht="24.75" customHeight="1">
      <c r="A386" s="478" t="s">
        <v>141</v>
      </c>
      <c r="B386" s="478"/>
      <c r="C386" s="478"/>
      <c r="D386" s="478"/>
      <c r="E386" s="217">
        <f>E361+E357+E316+E297</f>
        <v>66.9</v>
      </c>
      <c r="F386" s="216">
        <f>F361+F357+F316+F297</f>
        <v>69.62</v>
      </c>
      <c r="G386" s="216">
        <f>G361+G357+G316+G297</f>
        <v>301.62</v>
      </c>
      <c r="H386" s="217">
        <f>H361+H357+H316+H297</f>
        <v>2099.48</v>
      </c>
      <c r="I386" s="318">
        <f>I361+I357+I316+I297</f>
        <v>149.73085714285713</v>
      </c>
      <c r="J386" s="324"/>
      <c r="K386" s="1"/>
    </row>
    <row r="387" spans="1:35" ht="24.75" customHeight="1">
      <c r="A387" s="480" t="s">
        <v>0</v>
      </c>
      <c r="B387" s="480"/>
      <c r="C387" s="480"/>
      <c r="D387" s="480"/>
      <c r="E387" s="480"/>
      <c r="F387" s="480"/>
      <c r="G387" s="480"/>
      <c r="H387" s="480"/>
      <c r="I387" s="480"/>
      <c r="J387" s="480"/>
      <c r="K387" s="10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</row>
    <row r="388" spans="1:13" ht="24.75" customHeight="1" thickBot="1">
      <c r="A388" s="480" t="s">
        <v>41</v>
      </c>
      <c r="B388" s="480"/>
      <c r="C388" s="480"/>
      <c r="D388" s="480"/>
      <c r="E388" s="480"/>
      <c r="F388" s="480"/>
      <c r="G388" s="480"/>
      <c r="H388" s="480"/>
      <c r="I388" s="480"/>
      <c r="J388" s="480"/>
      <c r="K388" s="14"/>
      <c r="L388" s="181" t="s">
        <v>41</v>
      </c>
      <c r="M388" s="102"/>
    </row>
    <row r="389" spans="1:13" ht="24.75" customHeight="1">
      <c r="A389" s="455" t="s">
        <v>2</v>
      </c>
      <c r="B389" s="449" t="s">
        <v>3</v>
      </c>
      <c r="C389" s="449" t="s">
        <v>4</v>
      </c>
      <c r="D389" s="455" t="s">
        <v>5</v>
      </c>
      <c r="E389" s="455"/>
      <c r="F389" s="455"/>
      <c r="G389" s="455"/>
      <c r="H389" s="455"/>
      <c r="I389" s="455"/>
      <c r="J389" s="446" t="s">
        <v>311</v>
      </c>
      <c r="K389" s="14"/>
      <c r="L389" s="59" t="s">
        <v>72</v>
      </c>
      <c r="M389" s="102">
        <f>D458+D525</f>
        <v>90</v>
      </c>
    </row>
    <row r="390" spans="1:13" ht="24.75" customHeight="1">
      <c r="A390" s="455"/>
      <c r="B390" s="449"/>
      <c r="C390" s="449"/>
      <c r="D390" s="449" t="s">
        <v>6</v>
      </c>
      <c r="E390" s="467" t="s">
        <v>7</v>
      </c>
      <c r="F390" s="467" t="s">
        <v>8</v>
      </c>
      <c r="G390" s="467" t="s">
        <v>9</v>
      </c>
      <c r="H390" s="453" t="s">
        <v>10</v>
      </c>
      <c r="I390" s="444" t="s">
        <v>312</v>
      </c>
      <c r="J390" s="447"/>
      <c r="K390" s="14"/>
      <c r="L390" s="35" t="s">
        <v>82</v>
      </c>
      <c r="M390" s="102">
        <f>B403+D457+D409+D524</f>
        <v>120</v>
      </c>
    </row>
    <row r="391" spans="1:13" ht="24.75" customHeight="1">
      <c r="A391" s="455"/>
      <c r="B391" s="449"/>
      <c r="C391" s="449"/>
      <c r="D391" s="449"/>
      <c r="E391" s="467"/>
      <c r="F391" s="467"/>
      <c r="G391" s="467"/>
      <c r="H391" s="453"/>
      <c r="I391" s="445"/>
      <c r="J391" s="448"/>
      <c r="K391" s="10"/>
      <c r="L391" s="35" t="s">
        <v>83</v>
      </c>
      <c r="M391" s="102">
        <f>B441+B508</f>
        <v>8.9</v>
      </c>
    </row>
    <row r="392" spans="1:13" ht="24.75" customHeight="1">
      <c r="A392" s="466" t="s">
        <v>11</v>
      </c>
      <c r="B392" s="466"/>
      <c r="C392" s="466"/>
      <c r="D392" s="466"/>
      <c r="E392" s="128">
        <f>SUM(E393:E411)</f>
        <v>17.24</v>
      </c>
      <c r="F392" s="128">
        <f>SUM(F393:F411)</f>
        <v>22.38</v>
      </c>
      <c r="G392" s="128">
        <f>SUM(G393:G411)</f>
        <v>60.800000000000004</v>
      </c>
      <c r="H392" s="116">
        <f>SUM(H393:H411)</f>
        <v>513.58</v>
      </c>
      <c r="I392" s="128">
        <f>SUM(I393:I411)</f>
        <v>18.8525</v>
      </c>
      <c r="J392" s="159"/>
      <c r="K392" s="10"/>
      <c r="L392" s="36" t="s">
        <v>126</v>
      </c>
      <c r="M392" s="102">
        <f>B448</f>
        <v>37</v>
      </c>
    </row>
    <row r="393" spans="1:12" ht="24.75" customHeight="1">
      <c r="A393" s="461" t="s">
        <v>274</v>
      </c>
      <c r="B393" s="461"/>
      <c r="C393" s="461"/>
      <c r="D393" s="92" t="s">
        <v>249</v>
      </c>
      <c r="E393" s="119">
        <v>9.5</v>
      </c>
      <c r="F393" s="119">
        <v>12.2</v>
      </c>
      <c r="G393" s="119">
        <v>5.6</v>
      </c>
      <c r="H393" s="45">
        <f>E393*4+F393*9+G393*4</f>
        <v>170.20000000000002</v>
      </c>
      <c r="I393" s="307">
        <v>5.3725</v>
      </c>
      <c r="J393" s="306" t="s">
        <v>367</v>
      </c>
      <c r="K393" s="15"/>
      <c r="L393" s="39" t="s">
        <v>330</v>
      </c>
    </row>
    <row r="394" spans="1:13" ht="24.75" customHeight="1">
      <c r="A394" s="115" t="s">
        <v>29</v>
      </c>
      <c r="B394" s="110">
        <v>53.84615384615385</v>
      </c>
      <c r="C394" s="110">
        <v>53.84615384615385</v>
      </c>
      <c r="D394" s="92"/>
      <c r="E394" s="92"/>
      <c r="F394" s="119"/>
      <c r="G394" s="119"/>
      <c r="H394" s="124"/>
      <c r="I394" s="306"/>
      <c r="J394" s="306"/>
      <c r="K394" s="15"/>
      <c r="L394" s="35" t="s">
        <v>138</v>
      </c>
      <c r="M394" s="102">
        <f>B423+B464+B514</f>
        <v>269.325</v>
      </c>
    </row>
    <row r="395" spans="1:13" ht="24.75" customHeight="1">
      <c r="A395" s="182" t="s">
        <v>149</v>
      </c>
      <c r="B395" s="110">
        <v>20.000000000000004</v>
      </c>
      <c r="C395" s="110">
        <v>19.99999999999998</v>
      </c>
      <c r="D395" s="41"/>
      <c r="E395" s="44"/>
      <c r="F395" s="44"/>
      <c r="G395" s="44"/>
      <c r="H395" s="45"/>
      <c r="I395" s="307"/>
      <c r="J395" s="306"/>
      <c r="K395" s="15"/>
      <c r="L395" s="35" t="s">
        <v>84</v>
      </c>
      <c r="M395" s="102">
        <f>B422+B428+B429+B440+B449+B451+B469+B471+B472+B473+B509+B519+B414+B416+B401+B432+B442+B444</f>
        <v>395.87533333333334</v>
      </c>
    </row>
    <row r="396" spans="1:13" ht="24.75" customHeight="1">
      <c r="A396" s="127" t="s">
        <v>51</v>
      </c>
      <c r="B396" s="162">
        <v>9</v>
      </c>
      <c r="C396" s="162">
        <v>8</v>
      </c>
      <c r="D396" s="92"/>
      <c r="E396" s="92"/>
      <c r="F396" s="44"/>
      <c r="G396" s="44"/>
      <c r="H396" s="45"/>
      <c r="I396" s="307"/>
      <c r="J396" s="306"/>
      <c r="K396" s="15"/>
      <c r="L396" s="35" t="s">
        <v>85</v>
      </c>
      <c r="M396" s="102">
        <f>D461+B523+B454</f>
        <v>231.3</v>
      </c>
    </row>
    <row r="397" spans="1:13" ht="24.75" customHeight="1">
      <c r="A397" s="182" t="s">
        <v>27</v>
      </c>
      <c r="B397" s="183">
        <v>1.5</v>
      </c>
      <c r="C397" s="183">
        <v>1.5</v>
      </c>
      <c r="D397" s="92"/>
      <c r="E397" s="92"/>
      <c r="F397" s="188"/>
      <c r="G397" s="188"/>
      <c r="H397" s="91"/>
      <c r="I397" s="317"/>
      <c r="J397" s="317"/>
      <c r="K397" s="15"/>
      <c r="L397" s="35" t="s">
        <v>127</v>
      </c>
      <c r="M397" s="102">
        <f>D461</f>
        <v>200</v>
      </c>
    </row>
    <row r="398" spans="1:13" ht="24.75" customHeight="1">
      <c r="A398" s="182" t="s">
        <v>27</v>
      </c>
      <c r="B398" s="183">
        <v>5</v>
      </c>
      <c r="C398" s="183">
        <v>5</v>
      </c>
      <c r="D398" s="92"/>
      <c r="E398" s="188"/>
      <c r="F398" s="188"/>
      <c r="G398" s="188"/>
      <c r="H398" s="91"/>
      <c r="I398" s="317"/>
      <c r="J398" s="317"/>
      <c r="K398" s="15"/>
      <c r="L398" s="35" t="s">
        <v>86</v>
      </c>
      <c r="M398" s="102"/>
    </row>
    <row r="399" spans="1:13" ht="31.5" customHeight="1">
      <c r="A399" s="253" t="s">
        <v>240</v>
      </c>
      <c r="B399" s="16"/>
      <c r="C399" s="16"/>
      <c r="D399" s="16"/>
      <c r="E399" s="16"/>
      <c r="F399" s="50"/>
      <c r="G399" s="50"/>
      <c r="H399" s="42"/>
      <c r="I399" s="307"/>
      <c r="J399" s="306"/>
      <c r="K399" s="15"/>
      <c r="L399" s="35" t="s">
        <v>87</v>
      </c>
      <c r="M399" s="102">
        <f>B522+B407+B456</f>
        <v>45</v>
      </c>
    </row>
    <row r="400" spans="1:13" ht="32.25" customHeight="1">
      <c r="A400" s="341" t="s">
        <v>289</v>
      </c>
      <c r="B400" s="187">
        <f>C400*1.18</f>
        <v>47.199999999999996</v>
      </c>
      <c r="C400" s="183">
        <v>40</v>
      </c>
      <c r="D400" s="304"/>
      <c r="E400" s="250"/>
      <c r="F400" s="250"/>
      <c r="G400" s="250"/>
      <c r="H400" s="373"/>
      <c r="I400" s="311"/>
      <c r="J400" s="311"/>
      <c r="K400" s="15"/>
      <c r="L400" s="240" t="s">
        <v>207</v>
      </c>
      <c r="M400" s="106">
        <f>D460</f>
        <v>30</v>
      </c>
    </row>
    <row r="401" spans="1:13" ht="24.75" customHeight="1">
      <c r="A401" s="436" t="s">
        <v>222</v>
      </c>
      <c r="B401" s="187">
        <f>C401*1.02</f>
        <v>40.8</v>
      </c>
      <c r="C401" s="183">
        <v>40</v>
      </c>
      <c r="D401" s="304"/>
      <c r="E401" s="250"/>
      <c r="F401" s="251"/>
      <c r="G401" s="251"/>
      <c r="H401" s="252"/>
      <c r="I401" s="312"/>
      <c r="J401" s="312"/>
      <c r="K401" s="10"/>
      <c r="L401" s="35" t="s">
        <v>128</v>
      </c>
      <c r="M401" s="102">
        <f>C406</f>
        <v>1</v>
      </c>
    </row>
    <row r="402" spans="1:13" ht="24.75" customHeight="1">
      <c r="A402" s="461" t="s">
        <v>560</v>
      </c>
      <c r="B402" s="461"/>
      <c r="C402" s="461"/>
      <c r="D402" s="80" t="s">
        <v>561</v>
      </c>
      <c r="E402" s="44">
        <v>3.5</v>
      </c>
      <c r="F402" s="44">
        <v>7.5</v>
      </c>
      <c r="G402" s="44">
        <v>14</v>
      </c>
      <c r="H402" s="45">
        <f>E402*4+F402*9+G402*4</f>
        <v>137.5</v>
      </c>
      <c r="I402" s="307">
        <v>0.18</v>
      </c>
      <c r="J402" s="363" t="s">
        <v>383</v>
      </c>
      <c r="K402" s="10"/>
      <c r="L402" s="35" t="s">
        <v>88</v>
      </c>
      <c r="M402" s="102">
        <f>B521</f>
        <v>0.4</v>
      </c>
    </row>
    <row r="403" spans="1:13" ht="24.75" customHeight="1">
      <c r="A403" s="172" t="s">
        <v>528</v>
      </c>
      <c r="B403" s="16">
        <v>30</v>
      </c>
      <c r="C403" s="16">
        <v>30</v>
      </c>
      <c r="D403" s="16"/>
      <c r="E403" s="50"/>
      <c r="F403" s="50"/>
      <c r="G403" s="50"/>
      <c r="H403" s="42"/>
      <c r="I403" s="307"/>
      <c r="J403" s="306"/>
      <c r="K403" s="10"/>
      <c r="L403" s="35" t="s">
        <v>137</v>
      </c>
      <c r="M403" s="102">
        <f>B420</f>
        <v>21.76</v>
      </c>
    </row>
    <row r="404" spans="1:13" ht="24.75" customHeight="1">
      <c r="A404" s="115" t="s">
        <v>27</v>
      </c>
      <c r="B404" s="16">
        <v>10</v>
      </c>
      <c r="C404" s="16">
        <v>10</v>
      </c>
      <c r="D404" s="16"/>
      <c r="E404" s="50"/>
      <c r="F404" s="50"/>
      <c r="G404" s="50"/>
      <c r="H404" s="42"/>
      <c r="I404" s="307"/>
      <c r="J404" s="306"/>
      <c r="K404" s="14"/>
      <c r="L404" s="240" t="s">
        <v>208</v>
      </c>
      <c r="M404" s="102">
        <f>B435</f>
        <v>86.428</v>
      </c>
    </row>
    <row r="405" spans="1:13" ht="24.75" customHeight="1">
      <c r="A405" s="454" t="s">
        <v>393</v>
      </c>
      <c r="B405" s="454"/>
      <c r="C405" s="454"/>
      <c r="D405" s="143">
        <v>200</v>
      </c>
      <c r="E405" s="144">
        <v>2.2</v>
      </c>
      <c r="F405" s="144">
        <v>2.4</v>
      </c>
      <c r="G405" s="144">
        <v>15.6</v>
      </c>
      <c r="H405" s="152">
        <f>E405*4+F405*9+G405*4</f>
        <v>92.8</v>
      </c>
      <c r="I405" s="306">
        <v>1.3</v>
      </c>
      <c r="J405" s="306" t="s">
        <v>397</v>
      </c>
      <c r="K405" s="14"/>
      <c r="L405" s="35" t="s">
        <v>130</v>
      </c>
      <c r="M405" s="102"/>
    </row>
    <row r="406" spans="1:13" ht="24.75" customHeight="1">
      <c r="A406" s="184" t="s">
        <v>396</v>
      </c>
      <c r="B406" s="183">
        <v>1</v>
      </c>
      <c r="C406" s="183">
        <v>1</v>
      </c>
      <c r="D406" s="143"/>
      <c r="E406" s="144"/>
      <c r="F406" s="144"/>
      <c r="G406" s="144"/>
      <c r="H406" s="152"/>
      <c r="I406" s="306"/>
      <c r="J406" s="306"/>
      <c r="K406" s="14"/>
      <c r="L406" s="36" t="s">
        <v>131</v>
      </c>
      <c r="M406" s="102">
        <f>B395+B408</f>
        <v>120</v>
      </c>
    </row>
    <row r="407" spans="1:13" ht="24.75" customHeight="1">
      <c r="A407" s="123" t="s">
        <v>12</v>
      </c>
      <c r="B407" s="112">
        <v>15</v>
      </c>
      <c r="C407" s="112">
        <v>15</v>
      </c>
      <c r="D407" s="112"/>
      <c r="E407" s="112"/>
      <c r="F407" s="112"/>
      <c r="G407" s="140"/>
      <c r="H407" s="94"/>
      <c r="I407" s="112"/>
      <c r="J407" s="112"/>
      <c r="K407" s="62"/>
      <c r="L407" s="39" t="s">
        <v>331</v>
      </c>
      <c r="M407" s="106">
        <f>B527</f>
        <v>154</v>
      </c>
    </row>
    <row r="408" spans="1:13" ht="24.75" customHeight="1">
      <c r="A408" s="123" t="s">
        <v>149</v>
      </c>
      <c r="B408" s="112">
        <v>100</v>
      </c>
      <c r="C408" s="112">
        <v>100</v>
      </c>
      <c r="D408" s="112"/>
      <c r="E408" s="112"/>
      <c r="F408" s="112"/>
      <c r="G408" s="140"/>
      <c r="H408" s="94"/>
      <c r="I408" s="112"/>
      <c r="J408" s="112"/>
      <c r="K408" s="10"/>
      <c r="L408" s="35" t="s">
        <v>90</v>
      </c>
      <c r="M408" s="102"/>
    </row>
    <row r="409" spans="1:13" ht="24.75" customHeight="1">
      <c r="A409" s="461" t="s">
        <v>258</v>
      </c>
      <c r="B409" s="461"/>
      <c r="C409" s="461"/>
      <c r="D409" s="151">
        <v>20</v>
      </c>
      <c r="E409" s="145">
        <v>1.6400000000000001</v>
      </c>
      <c r="F409" s="145">
        <v>0.28</v>
      </c>
      <c r="G409" s="145">
        <v>7.6</v>
      </c>
      <c r="H409" s="152">
        <v>39.480000000000004</v>
      </c>
      <c r="I409" s="306">
        <v>0</v>
      </c>
      <c r="J409" s="306"/>
      <c r="K409" s="14"/>
      <c r="L409" s="35" t="s">
        <v>91</v>
      </c>
      <c r="M409" s="102">
        <f>B431+B511+B443</f>
        <v>16</v>
      </c>
    </row>
    <row r="410" spans="1:13" ht="24.75" customHeight="1">
      <c r="A410" s="477" t="s">
        <v>151</v>
      </c>
      <c r="B410" s="477"/>
      <c r="C410" s="477"/>
      <c r="D410" s="477"/>
      <c r="E410" s="477"/>
      <c r="F410" s="477"/>
      <c r="G410" s="477"/>
      <c r="H410" s="477"/>
      <c r="I410" s="477"/>
      <c r="J410" s="477"/>
      <c r="K410" s="14"/>
      <c r="L410" s="35" t="s">
        <v>134</v>
      </c>
      <c r="M410" s="102">
        <f>B396</f>
        <v>9</v>
      </c>
    </row>
    <row r="411" spans="1:13" ht="50.25" customHeight="1">
      <c r="A411" s="472" t="s">
        <v>345</v>
      </c>
      <c r="B411" s="472"/>
      <c r="C411" s="472"/>
      <c r="D411" s="143">
        <v>180</v>
      </c>
      <c r="E411" s="145">
        <v>0.4</v>
      </c>
      <c r="F411" s="144">
        <v>0</v>
      </c>
      <c r="G411" s="145">
        <v>18</v>
      </c>
      <c r="H411" s="152">
        <f>E411*4+F411*9+G411*4</f>
        <v>73.6</v>
      </c>
      <c r="I411" s="306">
        <v>12</v>
      </c>
      <c r="J411" s="306"/>
      <c r="K411" s="14"/>
      <c r="L411" s="35" t="s">
        <v>92</v>
      </c>
      <c r="M411" s="102">
        <f>B397+B398+B430+B452+B518+B512+B404</f>
        <v>38.5</v>
      </c>
    </row>
    <row r="412" spans="1:13" ht="24.75" customHeight="1">
      <c r="A412" s="466" t="s">
        <v>18</v>
      </c>
      <c r="B412" s="466"/>
      <c r="C412" s="466"/>
      <c r="D412" s="466"/>
      <c r="E412" s="128">
        <f>E413+E418+E433+E447+E453+E457+E458</f>
        <v>24.630000000000003</v>
      </c>
      <c r="F412" s="128">
        <f>F413+F418+F433+F447+F453+F457+F458</f>
        <v>28.16</v>
      </c>
      <c r="G412" s="128">
        <f>G413+G418+G433+G447+G453+G457+G458</f>
        <v>110.75</v>
      </c>
      <c r="H412" s="116">
        <f>H413+H418+H433+H447+H453+H457+H458</f>
        <v>794.4</v>
      </c>
      <c r="I412" s="128">
        <f>I413+I418+I433+I447+I453+I457+I458</f>
        <v>19.72625</v>
      </c>
      <c r="J412" s="159"/>
      <c r="K412" s="14"/>
      <c r="L412" s="35" t="s">
        <v>65</v>
      </c>
      <c r="M412" s="102">
        <f>B475+B507+B417+B438</f>
        <v>21</v>
      </c>
    </row>
    <row r="413" spans="1:13" ht="24.75" customHeight="1" thickBot="1">
      <c r="A413" s="461" t="s">
        <v>269</v>
      </c>
      <c r="B413" s="461"/>
      <c r="C413" s="461"/>
      <c r="D413" s="95">
        <v>70</v>
      </c>
      <c r="E413" s="44">
        <v>0.35</v>
      </c>
      <c r="F413" s="44">
        <v>4</v>
      </c>
      <c r="G413" s="44">
        <v>5.016666666666667</v>
      </c>
      <c r="H413" s="97">
        <f>E413*4+F413*9+G413*4</f>
        <v>57.46666666666667</v>
      </c>
      <c r="I413" s="313">
        <v>9.38875</v>
      </c>
      <c r="J413" s="306" t="s">
        <v>368</v>
      </c>
      <c r="K413" s="14"/>
      <c r="L413" s="37" t="s">
        <v>93</v>
      </c>
      <c r="M413" s="102">
        <f>B394</f>
        <v>53.84615384615385</v>
      </c>
    </row>
    <row r="414" spans="1:13" ht="24.75" customHeight="1">
      <c r="A414" s="290" t="s">
        <v>223</v>
      </c>
      <c r="B414" s="187">
        <f>C414*1.05</f>
        <v>59.85</v>
      </c>
      <c r="C414" s="162">
        <v>57</v>
      </c>
      <c r="D414" s="152"/>
      <c r="E414" s="151"/>
      <c r="F414" s="151"/>
      <c r="G414" s="151"/>
      <c r="H414" s="152"/>
      <c r="I414" s="306"/>
      <c r="J414" s="306"/>
      <c r="K414" s="14"/>
      <c r="L414" s="39" t="s">
        <v>209</v>
      </c>
      <c r="M414" s="106">
        <f>B455</f>
        <v>7</v>
      </c>
    </row>
    <row r="415" spans="1:13" ht="24.75" customHeight="1">
      <c r="A415" s="184" t="s">
        <v>224</v>
      </c>
      <c r="B415" s="187">
        <f>C415*1.02</f>
        <v>58.14</v>
      </c>
      <c r="C415" s="162">
        <v>57</v>
      </c>
      <c r="D415" s="152"/>
      <c r="E415" s="151"/>
      <c r="F415" s="151"/>
      <c r="G415" s="151"/>
      <c r="H415" s="152"/>
      <c r="I415" s="306"/>
      <c r="J415" s="306"/>
      <c r="K415" s="14"/>
      <c r="L415" s="39" t="s">
        <v>219</v>
      </c>
      <c r="M415" s="244"/>
    </row>
    <row r="416" spans="1:11" ht="24.75" customHeight="1">
      <c r="A416" s="202" t="s">
        <v>225</v>
      </c>
      <c r="B416" s="94">
        <f>C416*1.25</f>
        <v>12.5</v>
      </c>
      <c r="C416" s="282">
        <v>10</v>
      </c>
      <c r="D416" s="152"/>
      <c r="E416" s="41"/>
      <c r="F416" s="41"/>
      <c r="G416" s="41"/>
      <c r="H416" s="45"/>
      <c r="I416" s="307"/>
      <c r="J416" s="306"/>
      <c r="K416" s="14"/>
    </row>
    <row r="417" spans="1:11" ht="24.75" customHeight="1">
      <c r="A417" s="156" t="s">
        <v>20</v>
      </c>
      <c r="B417" s="157">
        <v>4</v>
      </c>
      <c r="C417" s="157">
        <v>4</v>
      </c>
      <c r="D417" s="152"/>
      <c r="E417" s="157"/>
      <c r="F417" s="157"/>
      <c r="G417" s="157"/>
      <c r="H417" s="232"/>
      <c r="I417" s="313"/>
      <c r="J417" s="306"/>
      <c r="K417" s="14"/>
    </row>
    <row r="418" spans="1:11" ht="24.75" customHeight="1">
      <c r="A418" s="508" t="s">
        <v>492</v>
      </c>
      <c r="B418" s="509"/>
      <c r="C418" s="510"/>
      <c r="D418" s="41" t="s">
        <v>275</v>
      </c>
      <c r="E418" s="145">
        <v>3.1</v>
      </c>
      <c r="F418" s="145">
        <v>5.6</v>
      </c>
      <c r="G418" s="145">
        <v>13.3</v>
      </c>
      <c r="H418" s="152">
        <f>E418*4+F418*9+G418*4</f>
        <v>116</v>
      </c>
      <c r="I418" s="306">
        <v>7.5</v>
      </c>
      <c r="J418" s="306" t="s">
        <v>369</v>
      </c>
      <c r="K418" s="14"/>
    </row>
    <row r="419" spans="1:11" ht="24.75" customHeight="1">
      <c r="A419" s="117" t="s">
        <v>69</v>
      </c>
      <c r="B419" s="196">
        <f>C419*1.18</f>
        <v>18.88</v>
      </c>
      <c r="C419" s="112">
        <v>16</v>
      </c>
      <c r="D419" s="41"/>
      <c r="E419" s="41"/>
      <c r="F419" s="44"/>
      <c r="G419" s="44"/>
      <c r="H419" s="45"/>
      <c r="I419" s="307"/>
      <c r="J419" s="306"/>
      <c r="K419" s="14"/>
    </row>
    <row r="420" spans="1:11" ht="24.75" customHeight="1">
      <c r="A420" s="195" t="s">
        <v>73</v>
      </c>
      <c r="B420" s="196">
        <f>C420*1.36</f>
        <v>21.76</v>
      </c>
      <c r="C420" s="112">
        <v>16</v>
      </c>
      <c r="D420" s="41"/>
      <c r="E420" s="41"/>
      <c r="F420" s="44"/>
      <c r="G420" s="44"/>
      <c r="H420" s="45"/>
      <c r="I420" s="307"/>
      <c r="J420" s="306"/>
      <c r="K420" s="14"/>
    </row>
    <row r="421" spans="1:11" ht="24.75" customHeight="1">
      <c r="A421" s="115" t="s">
        <v>98</v>
      </c>
      <c r="B421" s="16">
        <v>61</v>
      </c>
      <c r="C421" s="16">
        <v>60</v>
      </c>
      <c r="D421" s="41"/>
      <c r="E421" s="44"/>
      <c r="F421" s="44"/>
      <c r="G421" s="44"/>
      <c r="H421" s="45"/>
      <c r="I421" s="307"/>
      <c r="J421" s="306"/>
      <c r="K421" s="14"/>
    </row>
    <row r="422" spans="1:11" ht="24.75" customHeight="1">
      <c r="A422" s="172" t="s">
        <v>200</v>
      </c>
      <c r="B422" s="42">
        <f>C422*1.25</f>
        <v>62.5</v>
      </c>
      <c r="C422" s="16">
        <v>50</v>
      </c>
      <c r="D422" s="41"/>
      <c r="E422" s="44"/>
      <c r="F422" s="44"/>
      <c r="G422" s="44"/>
      <c r="H422" s="45"/>
      <c r="I422" s="307"/>
      <c r="J422" s="306"/>
      <c r="K422" s="14"/>
    </row>
    <row r="423" spans="1:11" ht="24.75" customHeight="1">
      <c r="A423" s="184" t="s">
        <v>21</v>
      </c>
      <c r="B423" s="187">
        <f>C423*1.33</f>
        <v>46.550000000000004</v>
      </c>
      <c r="C423" s="183">
        <v>35</v>
      </c>
      <c r="D423" s="151"/>
      <c r="E423" s="145"/>
      <c r="F423" s="188"/>
      <c r="G423" s="188"/>
      <c r="H423" s="187"/>
      <c r="I423" s="317"/>
      <c r="J423" s="317"/>
      <c r="K423" s="14"/>
    </row>
    <row r="424" spans="1:11" ht="24.75" customHeight="1">
      <c r="A424" s="123" t="s">
        <v>22</v>
      </c>
      <c r="B424" s="94">
        <f>C424*1.43</f>
        <v>50.05</v>
      </c>
      <c r="C424" s="183">
        <v>35</v>
      </c>
      <c r="D424" s="41"/>
      <c r="E424" s="44"/>
      <c r="F424" s="140"/>
      <c r="G424" s="140"/>
      <c r="H424" s="94"/>
      <c r="I424" s="316"/>
      <c r="J424" s="317"/>
      <c r="K424" s="89"/>
    </row>
    <row r="425" spans="1:11" ht="24.75" customHeight="1">
      <c r="A425" s="123" t="s">
        <v>23</v>
      </c>
      <c r="B425" s="94">
        <f>C425*1.54</f>
        <v>53.9</v>
      </c>
      <c r="C425" s="183">
        <v>35</v>
      </c>
      <c r="D425" s="41"/>
      <c r="E425" s="44"/>
      <c r="F425" s="140"/>
      <c r="G425" s="140"/>
      <c r="H425" s="94"/>
      <c r="I425" s="316"/>
      <c r="J425" s="317"/>
      <c r="K425" s="89"/>
    </row>
    <row r="426" spans="1:24" ht="24.75" customHeight="1">
      <c r="A426" s="123" t="s">
        <v>24</v>
      </c>
      <c r="B426" s="94">
        <f>C426*1.67</f>
        <v>58.449999999999996</v>
      </c>
      <c r="C426" s="183">
        <v>35</v>
      </c>
      <c r="D426" s="41"/>
      <c r="E426" s="44"/>
      <c r="F426" s="140"/>
      <c r="G426" s="140"/>
      <c r="H426" s="94"/>
      <c r="I426" s="316"/>
      <c r="J426" s="317"/>
      <c r="K426" s="89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</row>
    <row r="427" spans="1:11" ht="24.75" customHeight="1">
      <c r="A427" s="123" t="s">
        <v>25</v>
      </c>
      <c r="B427" s="94">
        <f>C427*1.25</f>
        <v>12.5</v>
      </c>
      <c r="C427" s="112">
        <v>10</v>
      </c>
      <c r="D427" s="41"/>
      <c r="E427" s="44"/>
      <c r="F427" s="140"/>
      <c r="G427" s="140"/>
      <c r="H427" s="94"/>
      <c r="I427" s="316"/>
      <c r="J427" s="317"/>
      <c r="K427" s="89"/>
    </row>
    <row r="428" spans="1:24" ht="24.75" customHeight="1">
      <c r="A428" s="123" t="s">
        <v>19</v>
      </c>
      <c r="B428" s="94">
        <f>C428*1.33</f>
        <v>13.3</v>
      </c>
      <c r="C428" s="112">
        <v>10</v>
      </c>
      <c r="D428" s="41"/>
      <c r="E428" s="44"/>
      <c r="F428" s="140"/>
      <c r="G428" s="140"/>
      <c r="H428" s="94"/>
      <c r="I428" s="316"/>
      <c r="J428" s="317"/>
      <c r="K428" s="89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11" ht="24.75" customHeight="1">
      <c r="A429" s="123" t="s">
        <v>26</v>
      </c>
      <c r="B429" s="94">
        <f>C429*1.19</f>
        <v>17.849999999999998</v>
      </c>
      <c r="C429" s="112">
        <v>15</v>
      </c>
      <c r="D429" s="41"/>
      <c r="E429" s="44"/>
      <c r="F429" s="140"/>
      <c r="G429" s="140"/>
      <c r="H429" s="94"/>
      <c r="I429" s="316"/>
      <c r="J429" s="317"/>
      <c r="K429" s="10"/>
    </row>
    <row r="430" spans="1:24" ht="24.75" customHeight="1">
      <c r="A430" s="123" t="s">
        <v>27</v>
      </c>
      <c r="B430" s="112">
        <v>6</v>
      </c>
      <c r="C430" s="112">
        <v>6</v>
      </c>
      <c r="D430" s="41"/>
      <c r="E430" s="44"/>
      <c r="F430" s="140"/>
      <c r="G430" s="140"/>
      <c r="H430" s="94"/>
      <c r="I430" s="316"/>
      <c r="J430" s="317"/>
      <c r="K430" s="10"/>
      <c r="N430" s="254"/>
      <c r="O430" s="254"/>
      <c r="P430" s="254"/>
      <c r="Q430" s="254"/>
      <c r="R430" s="254"/>
      <c r="S430" s="254"/>
      <c r="T430" s="254"/>
      <c r="U430" s="254"/>
      <c r="V430" s="254"/>
      <c r="W430" s="254"/>
      <c r="X430" s="254"/>
    </row>
    <row r="431" spans="1:24" ht="24.75" customHeight="1">
      <c r="A431" s="115" t="s">
        <v>95</v>
      </c>
      <c r="B431" s="112">
        <v>5</v>
      </c>
      <c r="C431" s="112">
        <v>5</v>
      </c>
      <c r="D431" s="112"/>
      <c r="E431" s="140"/>
      <c r="F431" s="140"/>
      <c r="G431" s="140"/>
      <c r="H431" s="94"/>
      <c r="I431" s="316"/>
      <c r="J431" s="317"/>
      <c r="K431" s="13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24.75" customHeight="1">
      <c r="A432" s="115" t="s">
        <v>70</v>
      </c>
      <c r="B432" s="94">
        <v>3</v>
      </c>
      <c r="C432" s="112">
        <v>2</v>
      </c>
      <c r="D432" s="112"/>
      <c r="E432" s="140"/>
      <c r="F432" s="140"/>
      <c r="G432" s="140"/>
      <c r="H432" s="94"/>
      <c r="I432" s="316"/>
      <c r="J432" s="317"/>
      <c r="K432" s="10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24.75" customHeight="1">
      <c r="A433" s="508" t="s">
        <v>423</v>
      </c>
      <c r="B433" s="509"/>
      <c r="C433" s="510"/>
      <c r="D433" s="387">
        <v>110</v>
      </c>
      <c r="E433" s="409">
        <v>10.9</v>
      </c>
      <c r="F433" s="409">
        <v>13.3</v>
      </c>
      <c r="G433" s="409">
        <v>3.7</v>
      </c>
      <c r="H433" s="152">
        <f>E433*4+F433*9+G433*4</f>
        <v>178.10000000000002</v>
      </c>
      <c r="I433" s="409">
        <v>0.5</v>
      </c>
      <c r="J433" s="387" t="s">
        <v>424</v>
      </c>
      <c r="K433" s="10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24.75" customHeight="1">
      <c r="A434" s="234" t="s">
        <v>426</v>
      </c>
      <c r="B434" s="219">
        <f>C434*1.48</f>
        <v>121.36</v>
      </c>
      <c r="C434" s="112">
        <v>82</v>
      </c>
      <c r="D434" s="112"/>
      <c r="E434" s="140"/>
      <c r="F434" s="140"/>
      <c r="G434" s="140"/>
      <c r="H434" s="94"/>
      <c r="I434" s="316"/>
      <c r="J434" s="317"/>
      <c r="K434" s="14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24.75" customHeight="1">
      <c r="A435" s="158" t="s">
        <v>425</v>
      </c>
      <c r="B435" s="219">
        <f>C435*1.054</f>
        <v>86.428</v>
      </c>
      <c r="C435" s="112">
        <v>82</v>
      </c>
      <c r="D435" s="112"/>
      <c r="E435" s="140"/>
      <c r="F435" s="140"/>
      <c r="G435" s="140"/>
      <c r="H435" s="94"/>
      <c r="I435" s="316"/>
      <c r="J435" s="317"/>
      <c r="K435" s="61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11" ht="24.75" customHeight="1">
      <c r="A436" s="158" t="s">
        <v>427</v>
      </c>
      <c r="B436" s="219">
        <f>C436*1.054</f>
        <v>86.428</v>
      </c>
      <c r="C436" s="112">
        <v>82</v>
      </c>
      <c r="D436" s="112"/>
      <c r="E436" s="140"/>
      <c r="F436" s="140"/>
      <c r="G436" s="140"/>
      <c r="H436" s="94"/>
      <c r="I436" s="316"/>
      <c r="J436" s="317"/>
      <c r="K436" s="14"/>
    </row>
    <row r="437" spans="1:11" ht="24.75" customHeight="1">
      <c r="A437" s="115" t="s">
        <v>220</v>
      </c>
      <c r="B437" s="94"/>
      <c r="C437" s="112">
        <v>60</v>
      </c>
      <c r="D437" s="112"/>
      <c r="E437" s="140"/>
      <c r="F437" s="140"/>
      <c r="G437" s="140"/>
      <c r="H437" s="94"/>
      <c r="I437" s="316"/>
      <c r="J437" s="317"/>
      <c r="K437" s="14"/>
    </row>
    <row r="438" spans="1:11" ht="24.75" customHeight="1">
      <c r="A438" s="115" t="s">
        <v>20</v>
      </c>
      <c r="B438" s="94">
        <v>6</v>
      </c>
      <c r="C438" s="112">
        <v>6</v>
      </c>
      <c r="D438" s="112"/>
      <c r="E438" s="140"/>
      <c r="F438" s="140"/>
      <c r="G438" s="140"/>
      <c r="H438" s="94"/>
      <c r="I438" s="316"/>
      <c r="J438" s="317"/>
      <c r="K438" s="62"/>
    </row>
    <row r="439" spans="1:24" s="165" customFormat="1" ht="24.75" customHeight="1">
      <c r="A439" s="115" t="s">
        <v>26</v>
      </c>
      <c r="B439" s="94">
        <f>C439*1.19</f>
        <v>9.52</v>
      </c>
      <c r="C439" s="112">
        <v>8</v>
      </c>
      <c r="D439" s="112"/>
      <c r="E439" s="140"/>
      <c r="F439" s="140"/>
      <c r="G439" s="140"/>
      <c r="H439" s="94"/>
      <c r="I439" s="316"/>
      <c r="J439" s="317"/>
      <c r="K439" s="136"/>
      <c r="L439" s="132"/>
      <c r="M439" s="16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</row>
    <row r="440" spans="1:11" ht="24.75" customHeight="1">
      <c r="A440" s="172" t="s">
        <v>421</v>
      </c>
      <c r="B440" s="94">
        <v>4</v>
      </c>
      <c r="C440" s="112">
        <v>4</v>
      </c>
      <c r="D440" s="112"/>
      <c r="E440" s="140"/>
      <c r="F440" s="140"/>
      <c r="G440" s="140"/>
      <c r="H440" s="94"/>
      <c r="I440" s="316"/>
      <c r="J440" s="317"/>
      <c r="K440" s="10"/>
    </row>
    <row r="441" spans="1:35" s="3" customFormat="1" ht="24.75" customHeight="1">
      <c r="A441" s="115" t="s">
        <v>28</v>
      </c>
      <c r="B441" s="140">
        <v>1.9</v>
      </c>
      <c r="C441" s="112">
        <v>1.9</v>
      </c>
      <c r="D441" s="112"/>
      <c r="E441" s="140"/>
      <c r="F441" s="140"/>
      <c r="G441" s="140"/>
      <c r="H441" s="94"/>
      <c r="I441" s="316"/>
      <c r="J441" s="317"/>
      <c r="K441" s="10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1:11" ht="32.25" customHeight="1">
      <c r="A442" s="115" t="s">
        <v>118</v>
      </c>
      <c r="B442" s="140">
        <f>C442*1.28</f>
        <v>1.1520000000000001</v>
      </c>
      <c r="C442" s="112">
        <v>0.9</v>
      </c>
      <c r="D442" s="112"/>
      <c r="E442" s="140"/>
      <c r="F442" s="140"/>
      <c r="G442" s="140"/>
      <c r="H442" s="94"/>
      <c r="I442" s="316"/>
      <c r="J442" s="317"/>
      <c r="K442" s="10"/>
    </row>
    <row r="443" spans="1:24" s="254" customFormat="1" ht="24.75" customHeight="1">
      <c r="A443" s="115" t="s">
        <v>95</v>
      </c>
      <c r="B443" s="94">
        <v>5</v>
      </c>
      <c r="C443" s="112">
        <v>5</v>
      </c>
      <c r="D443" s="112"/>
      <c r="E443" s="140"/>
      <c r="F443" s="140"/>
      <c r="G443" s="140"/>
      <c r="H443" s="94"/>
      <c r="I443" s="316"/>
      <c r="J443" s="317"/>
      <c r="K443" s="136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</row>
    <row r="444" spans="1:35" s="3" customFormat="1" ht="32.25" customHeight="1">
      <c r="A444" s="123" t="s">
        <v>25</v>
      </c>
      <c r="B444" s="94">
        <f>C444*1.25</f>
        <v>10</v>
      </c>
      <c r="C444" s="112">
        <v>8</v>
      </c>
      <c r="D444" s="41"/>
      <c r="E444" s="44"/>
      <c r="F444" s="140"/>
      <c r="G444" s="140"/>
      <c r="H444" s="94"/>
      <c r="I444" s="316"/>
      <c r="J444" s="317"/>
      <c r="K444" s="1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1:35" s="3" customFormat="1" ht="32.25" customHeight="1">
      <c r="A445" s="123" t="s">
        <v>19</v>
      </c>
      <c r="B445" s="94">
        <f>C445*1.33</f>
        <v>10.64</v>
      </c>
      <c r="C445" s="112">
        <v>8</v>
      </c>
      <c r="D445" s="41"/>
      <c r="E445" s="44"/>
      <c r="F445" s="140"/>
      <c r="G445" s="140"/>
      <c r="H445" s="94"/>
      <c r="I445" s="316"/>
      <c r="J445" s="317"/>
      <c r="K445" s="1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1:35" s="3" customFormat="1" ht="24.75" customHeight="1">
      <c r="A446" s="115" t="s">
        <v>428</v>
      </c>
      <c r="B446" s="94">
        <v>46</v>
      </c>
      <c r="C446" s="112">
        <v>46</v>
      </c>
      <c r="D446" s="112"/>
      <c r="E446" s="140"/>
      <c r="F446" s="140"/>
      <c r="G446" s="140"/>
      <c r="H446" s="94"/>
      <c r="I446" s="316"/>
      <c r="J446" s="317"/>
      <c r="K446" s="1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1:35" s="3" customFormat="1" ht="24.75" customHeight="1">
      <c r="A447" s="468" t="s">
        <v>94</v>
      </c>
      <c r="B447" s="468"/>
      <c r="C447" s="468"/>
      <c r="D447" s="41">
        <v>150</v>
      </c>
      <c r="E447" s="44">
        <v>2.2</v>
      </c>
      <c r="F447" s="44">
        <v>3.8</v>
      </c>
      <c r="G447" s="44">
        <v>28.333333333333336</v>
      </c>
      <c r="H447" s="45">
        <f>E447*4+F447*9+G447*4</f>
        <v>156.33333333333334</v>
      </c>
      <c r="I447" s="307">
        <v>0.9375</v>
      </c>
      <c r="J447" s="306" t="s">
        <v>348</v>
      </c>
      <c r="K447" s="14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1:35" s="3" customFormat="1" ht="24.75" customHeight="1">
      <c r="A448" s="123" t="s">
        <v>31</v>
      </c>
      <c r="B448" s="94">
        <v>37</v>
      </c>
      <c r="C448" s="94">
        <v>36.92307692307692</v>
      </c>
      <c r="D448" s="94"/>
      <c r="E448" s="112"/>
      <c r="F448" s="112"/>
      <c r="G448" s="112"/>
      <c r="H448" s="94"/>
      <c r="I448" s="316"/>
      <c r="J448" s="317"/>
      <c r="K448" s="14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1:24" ht="24.75" customHeight="1">
      <c r="A449" s="184" t="s">
        <v>57</v>
      </c>
      <c r="B449" s="187">
        <f>C449*1.67</f>
        <v>25.049999999999997</v>
      </c>
      <c r="C449" s="187">
        <v>15</v>
      </c>
      <c r="D449" s="187"/>
      <c r="E449" s="145"/>
      <c r="F449" s="145"/>
      <c r="G449" s="145"/>
      <c r="H449" s="152"/>
      <c r="I449" s="306"/>
      <c r="J449" s="306"/>
      <c r="K449" s="14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11" ht="24.75" customHeight="1">
      <c r="A450" s="123" t="s">
        <v>25</v>
      </c>
      <c r="B450" s="94">
        <f>C450*1.25</f>
        <v>40</v>
      </c>
      <c r="C450" s="94">
        <v>32</v>
      </c>
      <c r="D450" s="94"/>
      <c r="E450" s="94"/>
      <c r="F450" s="140"/>
      <c r="G450" s="140"/>
      <c r="H450" s="94"/>
      <c r="I450" s="316"/>
      <c r="J450" s="317"/>
      <c r="K450" s="14"/>
    </row>
    <row r="451" spans="1:11" ht="24.75" customHeight="1">
      <c r="A451" s="123" t="s">
        <v>19</v>
      </c>
      <c r="B451" s="94">
        <f>C451*1.33</f>
        <v>42.56</v>
      </c>
      <c r="C451" s="94">
        <v>32</v>
      </c>
      <c r="D451" s="94"/>
      <c r="E451" s="112"/>
      <c r="F451" s="140"/>
      <c r="G451" s="140"/>
      <c r="H451" s="94"/>
      <c r="I451" s="316"/>
      <c r="J451" s="317"/>
      <c r="K451" s="14"/>
    </row>
    <row r="452" spans="1:11" ht="24.75" customHeight="1">
      <c r="A452" s="123" t="s">
        <v>27</v>
      </c>
      <c r="B452" s="94">
        <v>6</v>
      </c>
      <c r="C452" s="94">
        <v>5.769230769230769</v>
      </c>
      <c r="D452" s="94"/>
      <c r="E452" s="112"/>
      <c r="F452" s="112"/>
      <c r="G452" s="112"/>
      <c r="H452" s="94"/>
      <c r="I452" s="316"/>
      <c r="J452" s="317"/>
      <c r="K452" s="14"/>
    </row>
    <row r="453" spans="1:11" ht="24.75" customHeight="1">
      <c r="A453" s="454" t="s">
        <v>190</v>
      </c>
      <c r="B453" s="454"/>
      <c r="C453" s="454"/>
      <c r="D453" s="143">
        <v>200</v>
      </c>
      <c r="E453" s="144">
        <v>0.2</v>
      </c>
      <c r="F453" s="144">
        <v>0.1</v>
      </c>
      <c r="G453" s="144">
        <v>21.8</v>
      </c>
      <c r="H453" s="152">
        <f>E453*4+F453*9+G453*4</f>
        <v>88.9</v>
      </c>
      <c r="I453" s="306">
        <v>1.4</v>
      </c>
      <c r="J453" s="306" t="s">
        <v>361</v>
      </c>
      <c r="K453" s="14"/>
    </row>
    <row r="454" spans="1:11" ht="24.75" customHeight="1">
      <c r="A454" s="141" t="s">
        <v>201</v>
      </c>
      <c r="B454" s="94">
        <v>25.3</v>
      </c>
      <c r="C454" s="112">
        <v>24</v>
      </c>
      <c r="D454" s="183"/>
      <c r="E454" s="183"/>
      <c r="F454" s="188"/>
      <c r="G454" s="188"/>
      <c r="H454" s="187"/>
      <c r="I454" s="317"/>
      <c r="J454" s="317"/>
      <c r="K454" s="14"/>
    </row>
    <row r="455" spans="1:24" ht="24.75" customHeight="1">
      <c r="A455" s="123" t="s">
        <v>191</v>
      </c>
      <c r="B455" s="112">
        <v>7</v>
      </c>
      <c r="C455" s="112">
        <v>7</v>
      </c>
      <c r="D455" s="112"/>
      <c r="E455" s="112"/>
      <c r="F455" s="112"/>
      <c r="G455" s="112"/>
      <c r="H455" s="94"/>
      <c r="I455" s="316"/>
      <c r="J455" s="317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</row>
    <row r="456" spans="1:11" ht="24.75" customHeight="1">
      <c r="A456" s="184" t="s">
        <v>12</v>
      </c>
      <c r="B456" s="183">
        <v>15</v>
      </c>
      <c r="C456" s="183">
        <v>15</v>
      </c>
      <c r="D456" s="183"/>
      <c r="E456" s="183"/>
      <c r="F456" s="183"/>
      <c r="G456" s="183"/>
      <c r="H456" s="183"/>
      <c r="I456" s="183"/>
      <c r="J456" s="183"/>
      <c r="K456" s="14"/>
    </row>
    <row r="457" spans="1:11" ht="24.75" customHeight="1">
      <c r="A457" s="461" t="s">
        <v>258</v>
      </c>
      <c r="B457" s="461"/>
      <c r="C457" s="461"/>
      <c r="D457" s="151">
        <v>40</v>
      </c>
      <c r="E457" s="145">
        <v>3.2800000000000002</v>
      </c>
      <c r="F457" s="145">
        <v>0.56</v>
      </c>
      <c r="G457" s="145">
        <v>15.2</v>
      </c>
      <c r="H457" s="152">
        <v>78.4</v>
      </c>
      <c r="I457" s="306">
        <v>0</v>
      </c>
      <c r="J457" s="306"/>
      <c r="K457" s="14"/>
    </row>
    <row r="458" spans="1:11" ht="24.75" customHeight="1">
      <c r="A458" s="461" t="s">
        <v>72</v>
      </c>
      <c r="B458" s="461"/>
      <c r="C458" s="461"/>
      <c r="D458" s="151">
        <v>70</v>
      </c>
      <c r="E458" s="145">
        <v>4.6</v>
      </c>
      <c r="F458" s="145">
        <v>0.8</v>
      </c>
      <c r="G458" s="145">
        <v>23.4</v>
      </c>
      <c r="H458" s="152">
        <v>119.19999999999997</v>
      </c>
      <c r="I458" s="306">
        <v>0</v>
      </c>
      <c r="J458" s="306"/>
      <c r="K458" s="14"/>
    </row>
    <row r="459" spans="1:11" ht="24.75" customHeight="1">
      <c r="A459" s="466" t="s">
        <v>61</v>
      </c>
      <c r="B459" s="466"/>
      <c r="C459" s="466"/>
      <c r="D459" s="466"/>
      <c r="E459" s="128">
        <f>E460+E461</f>
        <v>1.7000000000000002</v>
      </c>
      <c r="F459" s="128">
        <f>F460+F461</f>
        <v>2.5</v>
      </c>
      <c r="G459" s="128">
        <f>G460+G461</f>
        <v>64.8</v>
      </c>
      <c r="H459" s="116">
        <f>H460+H461</f>
        <v>288.5</v>
      </c>
      <c r="I459" s="128">
        <f>I460+I461</f>
        <v>19</v>
      </c>
      <c r="J459" s="159"/>
      <c r="K459" s="14"/>
    </row>
    <row r="460" spans="1:35" ht="39.75" customHeight="1">
      <c r="A460" s="482" t="s">
        <v>265</v>
      </c>
      <c r="B460" s="482"/>
      <c r="C460" s="482"/>
      <c r="D460" s="151">
        <v>30</v>
      </c>
      <c r="E460" s="145">
        <v>1.6</v>
      </c>
      <c r="F460" s="145">
        <v>2.5</v>
      </c>
      <c r="G460" s="145">
        <v>42.8</v>
      </c>
      <c r="H460" s="152">
        <f>E460*4+F460*9+G460*4</f>
        <v>200.1</v>
      </c>
      <c r="I460" s="306">
        <v>0</v>
      </c>
      <c r="J460" s="306"/>
      <c r="K460" s="10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</row>
    <row r="461" spans="1:35" ht="24.75" customHeight="1">
      <c r="A461" s="482" t="s">
        <v>504</v>
      </c>
      <c r="B461" s="482"/>
      <c r="C461" s="482"/>
      <c r="D461" s="143">
        <v>200</v>
      </c>
      <c r="E461" s="143">
        <v>0.1</v>
      </c>
      <c r="F461" s="144">
        <v>0</v>
      </c>
      <c r="G461" s="144">
        <v>22</v>
      </c>
      <c r="H461" s="152">
        <f>E461*4+F461*9+G461*4</f>
        <v>88.4</v>
      </c>
      <c r="I461" s="317">
        <v>19</v>
      </c>
      <c r="J461" s="317" t="s">
        <v>503</v>
      </c>
      <c r="K461" s="14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</row>
    <row r="462" spans="1:35" ht="24.75" customHeight="1">
      <c r="A462" s="466" t="s">
        <v>30</v>
      </c>
      <c r="B462" s="466"/>
      <c r="C462" s="466"/>
      <c r="D462" s="466"/>
      <c r="E462" s="128">
        <f>E463+E502+E513+E520+E524+E525+E527</f>
        <v>20.119999999999997</v>
      </c>
      <c r="F462" s="128">
        <f>F463+F502+F513+F520+F524+F525+F527</f>
        <v>19.86</v>
      </c>
      <c r="G462" s="128">
        <f>G463+G502+G513+G520+G524+G525+G527</f>
        <v>70.72</v>
      </c>
      <c r="H462" s="116">
        <f>H463+H502+H513+H520+H524+H525+H527</f>
        <v>537.6800000000001</v>
      </c>
      <c r="I462" s="128">
        <f>I463+I502+I513+I520+I524+I525+I527</f>
        <v>17.687403846153845</v>
      </c>
      <c r="J462" s="159"/>
      <c r="K462" s="14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</row>
    <row r="463" spans="1:11" ht="24.75" customHeight="1">
      <c r="A463" s="468" t="s">
        <v>159</v>
      </c>
      <c r="B463" s="468"/>
      <c r="C463" s="468"/>
      <c r="D463" s="41">
        <v>70</v>
      </c>
      <c r="E463" s="44">
        <v>1.2</v>
      </c>
      <c r="F463" s="44">
        <v>4</v>
      </c>
      <c r="G463" s="44">
        <v>7</v>
      </c>
      <c r="H463" s="45">
        <f>E463*4+F463*9+G463*4</f>
        <v>68.8</v>
      </c>
      <c r="I463" s="307">
        <v>2.77375</v>
      </c>
      <c r="J463" s="306" t="s">
        <v>371</v>
      </c>
      <c r="K463" s="14"/>
    </row>
    <row r="464" spans="1:11" ht="24.75" customHeight="1">
      <c r="A464" s="184" t="s">
        <v>21</v>
      </c>
      <c r="B464" s="187">
        <f>C464*1.33</f>
        <v>23.275000000000002</v>
      </c>
      <c r="C464" s="187">
        <v>17.5</v>
      </c>
      <c r="D464" s="183"/>
      <c r="E464" s="188"/>
      <c r="F464" s="188"/>
      <c r="G464" s="188"/>
      <c r="H464" s="187"/>
      <c r="I464" s="317"/>
      <c r="J464" s="317"/>
      <c r="K464" s="14"/>
    </row>
    <row r="465" spans="1:11" ht="24.75" customHeight="1">
      <c r="A465" s="123" t="s">
        <v>22</v>
      </c>
      <c r="B465" s="94">
        <f>C465*1.43</f>
        <v>25.025</v>
      </c>
      <c r="C465" s="91">
        <v>17.5</v>
      </c>
      <c r="D465" s="183"/>
      <c r="E465" s="188"/>
      <c r="F465" s="188"/>
      <c r="G465" s="188"/>
      <c r="H465" s="187"/>
      <c r="I465" s="317"/>
      <c r="J465" s="317"/>
      <c r="K465" s="74"/>
    </row>
    <row r="466" spans="1:11" ht="24.75" customHeight="1">
      <c r="A466" s="123" t="s">
        <v>23</v>
      </c>
      <c r="B466" s="94">
        <f>C466*1.54</f>
        <v>26.95</v>
      </c>
      <c r="C466" s="91">
        <v>17.5</v>
      </c>
      <c r="D466" s="183"/>
      <c r="E466" s="188"/>
      <c r="F466" s="140"/>
      <c r="G466" s="140"/>
      <c r="H466" s="94"/>
      <c r="I466" s="316"/>
      <c r="J466" s="317"/>
      <c r="K466" s="74"/>
    </row>
    <row r="467" spans="1:11" ht="24.75" customHeight="1">
      <c r="A467" s="123" t="s">
        <v>24</v>
      </c>
      <c r="B467" s="94">
        <f>C467*1.67</f>
        <v>29.224999999999998</v>
      </c>
      <c r="C467" s="91">
        <v>17.5</v>
      </c>
      <c r="D467" s="183"/>
      <c r="E467" s="188"/>
      <c r="F467" s="140"/>
      <c r="G467" s="140"/>
      <c r="H467" s="94"/>
      <c r="I467" s="316"/>
      <c r="J467" s="317"/>
      <c r="K467" s="60"/>
    </row>
    <row r="468" spans="1:24" s="165" customFormat="1" ht="24.75" customHeight="1">
      <c r="A468" s="123" t="s">
        <v>53</v>
      </c>
      <c r="B468" s="94">
        <f>C468*1.25</f>
        <v>21.875</v>
      </c>
      <c r="C468" s="91">
        <v>17.5</v>
      </c>
      <c r="D468" s="183"/>
      <c r="E468" s="188"/>
      <c r="F468" s="140"/>
      <c r="G468" s="140"/>
      <c r="H468" s="94"/>
      <c r="I468" s="316"/>
      <c r="J468" s="317"/>
      <c r="K468" s="131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</row>
    <row r="469" spans="1:11" ht="24.75" customHeight="1">
      <c r="A469" s="123" t="s">
        <v>19</v>
      </c>
      <c r="B469" s="94">
        <f>C469*1.33</f>
        <v>23.275000000000002</v>
      </c>
      <c r="C469" s="91">
        <v>17.5</v>
      </c>
      <c r="D469" s="183"/>
      <c r="E469" s="188"/>
      <c r="F469" s="140"/>
      <c r="G469" s="140"/>
      <c r="H469" s="94"/>
      <c r="I469" s="316"/>
      <c r="J469" s="317"/>
      <c r="K469" s="14"/>
    </row>
    <row r="470" spans="1:11" ht="24.75" customHeight="1">
      <c r="A470" s="123" t="s">
        <v>25</v>
      </c>
      <c r="B470" s="94">
        <f>C470*1.25</f>
        <v>21.875</v>
      </c>
      <c r="C470" s="91">
        <v>17.5</v>
      </c>
      <c r="D470" s="183"/>
      <c r="E470" s="188"/>
      <c r="F470" s="44"/>
      <c r="G470" s="44"/>
      <c r="H470" s="45"/>
      <c r="I470" s="307"/>
      <c r="J470" s="306"/>
      <c r="K470" s="14"/>
    </row>
    <row r="471" spans="1:11" ht="24.75" customHeight="1">
      <c r="A471" s="123" t="s">
        <v>19</v>
      </c>
      <c r="B471" s="94">
        <f>C471*1.33</f>
        <v>23.275000000000002</v>
      </c>
      <c r="C471" s="91">
        <v>17.5</v>
      </c>
      <c r="D471" s="183"/>
      <c r="E471" s="188"/>
      <c r="F471" s="140"/>
      <c r="G471" s="140"/>
      <c r="H471" s="94"/>
      <c r="I471" s="316"/>
      <c r="J471" s="317"/>
      <c r="K471" s="14"/>
    </row>
    <row r="472" spans="1:11" ht="24.75" customHeight="1">
      <c r="A472" s="115" t="s">
        <v>213</v>
      </c>
      <c r="B472" s="42">
        <f>C472*1.11</f>
        <v>15.540000000000001</v>
      </c>
      <c r="C472" s="91">
        <v>14</v>
      </c>
      <c r="D472" s="183"/>
      <c r="E472" s="188"/>
      <c r="F472" s="140"/>
      <c r="G472" s="140"/>
      <c r="H472" s="94"/>
      <c r="I472" s="316"/>
      <c r="J472" s="317"/>
      <c r="K472" s="14"/>
    </row>
    <row r="473" spans="1:11" ht="24.75" customHeight="1">
      <c r="A473" s="123" t="s">
        <v>26</v>
      </c>
      <c r="B473" s="140">
        <f>C473*1.19</f>
        <v>4.76</v>
      </c>
      <c r="C473" s="91">
        <v>4</v>
      </c>
      <c r="D473" s="183"/>
      <c r="E473" s="188"/>
      <c r="F473" s="140"/>
      <c r="G473" s="140"/>
      <c r="H473" s="94"/>
      <c r="I473" s="316"/>
      <c r="J473" s="317"/>
      <c r="K473" s="14"/>
    </row>
    <row r="474" spans="1:11" ht="24.75" customHeight="1">
      <c r="A474" s="123" t="s">
        <v>304</v>
      </c>
      <c r="B474" s="94">
        <f>C474*1.25</f>
        <v>5</v>
      </c>
      <c r="C474" s="91">
        <v>4</v>
      </c>
      <c r="D474" s="183"/>
      <c r="E474" s="188"/>
      <c r="F474" s="140"/>
      <c r="G474" s="140"/>
      <c r="H474" s="94"/>
      <c r="I474" s="316"/>
      <c r="J474" s="317"/>
      <c r="K474" s="14"/>
    </row>
    <row r="475" spans="1:11" ht="24.75" customHeight="1">
      <c r="A475" s="123" t="s">
        <v>20</v>
      </c>
      <c r="B475" s="94">
        <v>4</v>
      </c>
      <c r="C475" s="91">
        <v>3.5</v>
      </c>
      <c r="D475" s="183"/>
      <c r="E475" s="188"/>
      <c r="F475" s="140"/>
      <c r="G475" s="140"/>
      <c r="H475" s="94"/>
      <c r="I475" s="316"/>
      <c r="J475" s="317"/>
      <c r="K475" s="14"/>
    </row>
    <row r="476" spans="1:24" ht="24.75" customHeight="1">
      <c r="A476" s="500" t="s">
        <v>302</v>
      </c>
      <c r="B476" s="500"/>
      <c r="C476" s="500"/>
      <c r="D476" s="500"/>
      <c r="E476" s="500"/>
      <c r="F476" s="500"/>
      <c r="G476" s="500"/>
      <c r="H476" s="500"/>
      <c r="I476" s="500"/>
      <c r="J476" s="500"/>
      <c r="K476" s="14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11" ht="24.75" customHeight="1">
      <c r="A477" s="468" t="s">
        <v>303</v>
      </c>
      <c r="B477" s="468"/>
      <c r="C477" s="468"/>
      <c r="D477" s="151">
        <v>70</v>
      </c>
      <c r="E477" s="145">
        <v>0.9</v>
      </c>
      <c r="F477" s="145">
        <v>4</v>
      </c>
      <c r="G477" s="145">
        <v>4.2</v>
      </c>
      <c r="H477" s="152">
        <f>E477*4+F477*9+G477*4</f>
        <v>56.400000000000006</v>
      </c>
      <c r="I477" s="306">
        <v>0.03</v>
      </c>
      <c r="J477" s="306" t="s">
        <v>509</v>
      </c>
      <c r="K477" s="14"/>
    </row>
    <row r="478" spans="1:11" ht="24.75" customHeight="1">
      <c r="A478" s="184" t="s">
        <v>21</v>
      </c>
      <c r="B478" s="187">
        <f>C478*1.33</f>
        <v>18.62</v>
      </c>
      <c r="C478" s="187">
        <v>14</v>
      </c>
      <c r="D478" s="183"/>
      <c r="E478" s="188"/>
      <c r="F478" s="188"/>
      <c r="G478" s="188"/>
      <c r="H478" s="187"/>
      <c r="I478" s="317"/>
      <c r="J478" s="317"/>
      <c r="K478" s="14"/>
    </row>
    <row r="479" spans="1:11" ht="24.75" customHeight="1">
      <c r="A479" s="123" t="s">
        <v>22</v>
      </c>
      <c r="B479" s="94">
        <f>C479*1.43</f>
        <v>20.02</v>
      </c>
      <c r="C479" s="91">
        <v>14</v>
      </c>
      <c r="D479" s="183"/>
      <c r="E479" s="188"/>
      <c r="F479" s="188"/>
      <c r="G479" s="188"/>
      <c r="H479" s="187"/>
      <c r="I479" s="317"/>
      <c r="J479" s="317"/>
      <c r="K479" s="14"/>
    </row>
    <row r="480" spans="1:11" ht="24.75" customHeight="1">
      <c r="A480" s="123" t="s">
        <v>23</v>
      </c>
      <c r="B480" s="94">
        <f>C480*1.54</f>
        <v>21.560000000000002</v>
      </c>
      <c r="C480" s="91">
        <v>14</v>
      </c>
      <c r="D480" s="183"/>
      <c r="E480" s="188"/>
      <c r="F480" s="140"/>
      <c r="G480" s="140"/>
      <c r="H480" s="94"/>
      <c r="I480" s="316"/>
      <c r="J480" s="317"/>
      <c r="K480" s="15"/>
    </row>
    <row r="481" spans="1:11" ht="24.75" customHeight="1">
      <c r="A481" s="123" t="s">
        <v>24</v>
      </c>
      <c r="B481" s="94">
        <f>C481*1.67</f>
        <v>23.38</v>
      </c>
      <c r="C481" s="91">
        <v>14</v>
      </c>
      <c r="D481" s="183"/>
      <c r="E481" s="188"/>
      <c r="F481" s="140"/>
      <c r="G481" s="140"/>
      <c r="H481" s="94"/>
      <c r="I481" s="316"/>
      <c r="J481" s="317"/>
      <c r="K481" s="14"/>
    </row>
    <row r="482" spans="1:11" ht="24.75" customHeight="1">
      <c r="A482" s="123" t="s">
        <v>53</v>
      </c>
      <c r="B482" s="94">
        <f>C482*1.25</f>
        <v>17.5</v>
      </c>
      <c r="C482" s="91">
        <v>14</v>
      </c>
      <c r="D482" s="183"/>
      <c r="E482" s="188"/>
      <c r="F482" s="140"/>
      <c r="G482" s="140"/>
      <c r="H482" s="94"/>
      <c r="I482" s="316"/>
      <c r="J482" s="317"/>
      <c r="K482" s="14"/>
    </row>
    <row r="483" spans="1:11" ht="24.75" customHeight="1">
      <c r="A483" s="123" t="s">
        <v>19</v>
      </c>
      <c r="B483" s="94">
        <f>C483*1.33</f>
        <v>18.62</v>
      </c>
      <c r="C483" s="91">
        <v>14</v>
      </c>
      <c r="D483" s="183"/>
      <c r="E483" s="188"/>
      <c r="F483" s="140"/>
      <c r="G483" s="140"/>
      <c r="H483" s="94"/>
      <c r="I483" s="316"/>
      <c r="J483" s="317"/>
      <c r="K483" s="14"/>
    </row>
    <row r="484" spans="1:11" ht="24.75" customHeight="1">
      <c r="A484" s="123" t="s">
        <v>25</v>
      </c>
      <c r="B484" s="94">
        <f>C484*1.25</f>
        <v>17.5</v>
      </c>
      <c r="C484" s="91">
        <v>14</v>
      </c>
      <c r="D484" s="183"/>
      <c r="E484" s="188"/>
      <c r="F484" s="140"/>
      <c r="G484" s="44"/>
      <c r="H484" s="45"/>
      <c r="I484" s="307"/>
      <c r="J484" s="306"/>
      <c r="K484" s="14"/>
    </row>
    <row r="485" spans="1:11" ht="24.75" customHeight="1">
      <c r="A485" s="123" t="s">
        <v>19</v>
      </c>
      <c r="B485" s="94">
        <f>C485*1.33</f>
        <v>18.62</v>
      </c>
      <c r="C485" s="91">
        <v>14</v>
      </c>
      <c r="D485" s="183"/>
      <c r="E485" s="188"/>
      <c r="F485" s="140"/>
      <c r="G485" s="140"/>
      <c r="H485" s="94"/>
      <c r="I485" s="316"/>
      <c r="J485" s="317"/>
      <c r="K485" s="14"/>
    </row>
    <row r="486" spans="1:11" ht="24.75" customHeight="1">
      <c r="A486" s="115" t="s">
        <v>213</v>
      </c>
      <c r="B486" s="42">
        <f>C486*1.11</f>
        <v>12.21</v>
      </c>
      <c r="C486" s="91">
        <v>11</v>
      </c>
      <c r="D486" s="183"/>
      <c r="E486" s="188"/>
      <c r="F486" s="140"/>
      <c r="G486" s="140"/>
      <c r="H486" s="94"/>
      <c r="I486" s="316"/>
      <c r="J486" s="317"/>
      <c r="K486" s="14"/>
    </row>
    <row r="487" spans="1:11" ht="24.75" customHeight="1">
      <c r="A487" s="123" t="s">
        <v>26</v>
      </c>
      <c r="B487" s="140">
        <f>C487*1.19</f>
        <v>3.57</v>
      </c>
      <c r="C487" s="91">
        <v>3</v>
      </c>
      <c r="D487" s="183"/>
      <c r="E487" s="188"/>
      <c r="F487" s="140"/>
      <c r="G487" s="140"/>
      <c r="H487" s="94"/>
      <c r="I487" s="316"/>
      <c r="J487" s="317"/>
      <c r="K487" s="14"/>
    </row>
    <row r="488" spans="1:11" ht="24.75" customHeight="1">
      <c r="A488" s="123" t="s">
        <v>304</v>
      </c>
      <c r="B488" s="94">
        <f>C488*1.25</f>
        <v>3.75</v>
      </c>
      <c r="C488" s="91">
        <v>3</v>
      </c>
      <c r="D488" s="183"/>
      <c r="E488" s="188"/>
      <c r="F488" s="140"/>
      <c r="G488" s="140"/>
      <c r="H488" s="94"/>
      <c r="I488" s="316"/>
      <c r="J488" s="317"/>
      <c r="K488" s="14"/>
    </row>
    <row r="489" spans="1:35" s="3" customFormat="1" ht="24.75" customHeight="1">
      <c r="A489" s="141" t="s">
        <v>300</v>
      </c>
      <c r="B489" s="94">
        <f>C489*1.7</f>
        <v>25.5</v>
      </c>
      <c r="C489" s="91">
        <v>15</v>
      </c>
      <c r="D489" s="183"/>
      <c r="E489" s="188"/>
      <c r="F489" s="140"/>
      <c r="G489" s="140"/>
      <c r="H489" s="94"/>
      <c r="I489" s="316"/>
      <c r="J489" s="317"/>
      <c r="K489" s="1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1:11" ht="24.75" customHeight="1">
      <c r="A490" s="123" t="s">
        <v>20</v>
      </c>
      <c r="B490" s="94">
        <v>4</v>
      </c>
      <c r="C490" s="91">
        <v>3.5</v>
      </c>
      <c r="D490" s="183"/>
      <c r="E490" s="188"/>
      <c r="F490" s="140"/>
      <c r="G490" s="140"/>
      <c r="H490" s="94"/>
      <c r="I490" s="316"/>
      <c r="J490" s="317"/>
      <c r="K490" s="14"/>
    </row>
    <row r="491" spans="1:24" ht="24.75" customHeight="1">
      <c r="A491" s="521" t="s">
        <v>259</v>
      </c>
      <c r="B491" s="522"/>
      <c r="C491" s="522"/>
      <c r="D491" s="522"/>
      <c r="E491" s="522"/>
      <c r="F491" s="522"/>
      <c r="G491" s="522"/>
      <c r="H491" s="522"/>
      <c r="I491" s="522"/>
      <c r="J491" s="523"/>
      <c r="K491" s="14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24.75" customHeight="1">
      <c r="A492" s="481" t="s">
        <v>429</v>
      </c>
      <c r="B492" s="481"/>
      <c r="C492" s="481"/>
      <c r="D492" s="95">
        <v>70</v>
      </c>
      <c r="E492" s="96">
        <v>0.8</v>
      </c>
      <c r="F492" s="96">
        <v>4</v>
      </c>
      <c r="G492" s="96">
        <v>4.5</v>
      </c>
      <c r="H492" s="152">
        <f>E492*4+F492*9+G492*4</f>
        <v>57.2</v>
      </c>
      <c r="I492" s="145">
        <v>10.5</v>
      </c>
      <c r="J492" s="306" t="s">
        <v>431</v>
      </c>
      <c r="K492" s="14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24.75" customHeight="1">
      <c r="A493" s="115" t="s">
        <v>289</v>
      </c>
      <c r="B493" s="142">
        <f>C493*1.18</f>
        <v>21.24</v>
      </c>
      <c r="C493" s="157">
        <v>18</v>
      </c>
      <c r="D493" s="157"/>
      <c r="E493" s="157"/>
      <c r="F493" s="157"/>
      <c r="G493" s="157"/>
      <c r="H493" s="232"/>
      <c r="I493" s="157"/>
      <c r="J493" s="385"/>
      <c r="K493" s="14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24.75" customHeight="1">
      <c r="A494" s="172" t="s">
        <v>222</v>
      </c>
      <c r="B494" s="42">
        <f>C494*1.02</f>
        <v>18.36</v>
      </c>
      <c r="C494" s="16">
        <v>18</v>
      </c>
      <c r="D494" s="157"/>
      <c r="E494" s="16"/>
      <c r="F494" s="16"/>
      <c r="G494" s="16"/>
      <c r="H494" s="42"/>
      <c r="I494" s="385"/>
      <c r="J494" s="385"/>
      <c r="K494" s="14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24.75" customHeight="1">
      <c r="A495" s="115" t="s">
        <v>223</v>
      </c>
      <c r="B495" s="42">
        <f>C495*1.05</f>
        <v>18.900000000000002</v>
      </c>
      <c r="C495" s="16">
        <v>18</v>
      </c>
      <c r="D495" s="157"/>
      <c r="E495" s="16"/>
      <c r="F495" s="16"/>
      <c r="G495" s="16"/>
      <c r="H495" s="42"/>
      <c r="I495" s="386"/>
      <c r="J495" s="388"/>
      <c r="K495" s="14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24.75" customHeight="1">
      <c r="A496" s="115" t="s">
        <v>224</v>
      </c>
      <c r="B496" s="42">
        <f>C496*1.02</f>
        <v>18.36</v>
      </c>
      <c r="C496" s="16">
        <v>18</v>
      </c>
      <c r="D496" s="157"/>
      <c r="E496" s="42"/>
      <c r="F496" s="16"/>
      <c r="G496" s="16"/>
      <c r="H496" s="42"/>
      <c r="I496" s="385"/>
      <c r="J496" s="385"/>
      <c r="K496" s="14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24.75" customHeight="1">
      <c r="A497" s="366" t="s">
        <v>432</v>
      </c>
      <c r="B497" s="55">
        <f>C497*1.43</f>
        <v>20.02</v>
      </c>
      <c r="C497" s="157">
        <v>14</v>
      </c>
      <c r="D497" s="157"/>
      <c r="E497" s="232"/>
      <c r="F497" s="157"/>
      <c r="G497" s="232"/>
      <c r="H497" s="232"/>
      <c r="I497" s="385"/>
      <c r="J497" s="385"/>
      <c r="K497" s="14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24.75" customHeight="1">
      <c r="A498" s="156" t="s">
        <v>26</v>
      </c>
      <c r="B498" s="142">
        <f>C498*1.19</f>
        <v>8.33</v>
      </c>
      <c r="C498" s="157">
        <v>7</v>
      </c>
      <c r="D498" s="157"/>
      <c r="E498" s="157"/>
      <c r="F498" s="157"/>
      <c r="G498" s="157"/>
      <c r="H498" s="232"/>
      <c r="I498" s="385"/>
      <c r="J498" s="385"/>
      <c r="K498" s="14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24.75" customHeight="1">
      <c r="A499" s="156" t="s">
        <v>433</v>
      </c>
      <c r="B499" s="142">
        <f>C499*1.25</f>
        <v>8.75</v>
      </c>
      <c r="C499" s="157">
        <v>7</v>
      </c>
      <c r="D499" s="157"/>
      <c r="E499" s="157"/>
      <c r="F499" s="157"/>
      <c r="G499" s="157"/>
      <c r="H499" s="232"/>
      <c r="I499" s="385"/>
      <c r="J499" s="385"/>
      <c r="K499" s="28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24.75" customHeight="1">
      <c r="A500" s="156" t="s">
        <v>430</v>
      </c>
      <c r="B500" s="232">
        <f>C500*1.33</f>
        <v>15.96</v>
      </c>
      <c r="C500" s="232">
        <v>12</v>
      </c>
      <c r="D500" s="157"/>
      <c r="E500" s="157"/>
      <c r="F500" s="157"/>
      <c r="G500" s="157"/>
      <c r="H500" s="232"/>
      <c r="I500" s="385"/>
      <c r="J500" s="385"/>
      <c r="K500" s="28"/>
      <c r="N500" s="254"/>
      <c r="O500" s="254"/>
      <c r="P500" s="254"/>
      <c r="Q500" s="254"/>
      <c r="R500" s="254"/>
      <c r="S500" s="254"/>
      <c r="T500" s="254"/>
      <c r="U500" s="254"/>
      <c r="V500" s="254"/>
      <c r="W500" s="254"/>
      <c r="X500" s="254"/>
    </row>
    <row r="501" spans="1:24" ht="24.75" customHeight="1">
      <c r="A501" s="115" t="s">
        <v>20</v>
      </c>
      <c r="B501" s="157">
        <v>4</v>
      </c>
      <c r="C501" s="157">
        <v>4</v>
      </c>
      <c r="D501" s="157"/>
      <c r="E501" s="157"/>
      <c r="F501" s="157"/>
      <c r="G501" s="157"/>
      <c r="H501" s="232"/>
      <c r="I501" s="385"/>
      <c r="J501" s="385"/>
      <c r="K501" s="28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24.75" customHeight="1">
      <c r="A502" s="473" t="s">
        <v>197</v>
      </c>
      <c r="B502" s="474"/>
      <c r="C502" s="475"/>
      <c r="D502" s="151" t="s">
        <v>244</v>
      </c>
      <c r="E502" s="145">
        <v>9.1</v>
      </c>
      <c r="F502" s="145">
        <v>8.5</v>
      </c>
      <c r="G502" s="145">
        <v>3.8</v>
      </c>
      <c r="H502" s="152">
        <f>E502*4+F502*9+G502*4</f>
        <v>128.1</v>
      </c>
      <c r="I502" s="306">
        <v>3.816153846153846</v>
      </c>
      <c r="J502" s="306" t="s">
        <v>348</v>
      </c>
      <c r="K502" s="29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24.75" customHeight="1">
      <c r="A503" s="203" t="s">
        <v>153</v>
      </c>
      <c r="B503" s="247">
        <f>C503*1.5</f>
        <v>151.5</v>
      </c>
      <c r="C503" s="42">
        <v>101</v>
      </c>
      <c r="D503" s="42"/>
      <c r="E503" s="16"/>
      <c r="F503" s="50"/>
      <c r="G503" s="50"/>
      <c r="H503" s="42"/>
      <c r="I503" s="307"/>
      <c r="J503" s="306"/>
      <c r="K503" s="10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35" s="3" customFormat="1" ht="24.75" customHeight="1">
      <c r="A504" s="203" t="s">
        <v>165</v>
      </c>
      <c r="B504" s="247">
        <f>C504*1.82</f>
        <v>183.82</v>
      </c>
      <c r="C504" s="16">
        <v>101</v>
      </c>
      <c r="D504" s="42"/>
      <c r="E504" s="44"/>
      <c r="F504" s="44"/>
      <c r="G504" s="44"/>
      <c r="H504" s="45"/>
      <c r="I504" s="307"/>
      <c r="J504" s="306"/>
      <c r="K504" s="10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1:35" s="3" customFormat="1" ht="24.75" customHeight="1">
      <c r="A505" s="203" t="s">
        <v>117</v>
      </c>
      <c r="B505" s="247">
        <f>C505*1.35</f>
        <v>129.60000000000002</v>
      </c>
      <c r="C505" s="42">
        <v>96</v>
      </c>
      <c r="D505" s="42"/>
      <c r="E505" s="16"/>
      <c r="F505" s="16"/>
      <c r="G505" s="16"/>
      <c r="H505" s="42"/>
      <c r="I505" s="307"/>
      <c r="J505" s="306"/>
      <c r="K505" s="10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1:35" s="3" customFormat="1" ht="24.75" customHeight="1">
      <c r="A506" s="234" t="s">
        <v>252</v>
      </c>
      <c r="B506" s="219">
        <f>C506*1.82</f>
        <v>183.82</v>
      </c>
      <c r="C506" s="201">
        <v>101</v>
      </c>
      <c r="D506" s="42"/>
      <c r="E506" s="16"/>
      <c r="F506" s="16"/>
      <c r="G506" s="16"/>
      <c r="H506" s="42"/>
      <c r="I506" s="307"/>
      <c r="J506" s="306"/>
      <c r="K506" s="10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1:35" s="3" customFormat="1" ht="24.75" customHeight="1">
      <c r="A507" s="115" t="s">
        <v>20</v>
      </c>
      <c r="B507" s="42">
        <v>7</v>
      </c>
      <c r="C507" s="42">
        <v>7</v>
      </c>
      <c r="D507" s="42"/>
      <c r="E507" s="16"/>
      <c r="F507" s="50"/>
      <c r="G507" s="50"/>
      <c r="H507" s="42"/>
      <c r="I507" s="307"/>
      <c r="J507" s="306"/>
      <c r="K507" s="11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1:35" s="3" customFormat="1" ht="24.75" customHeight="1">
      <c r="A508" s="115" t="s">
        <v>28</v>
      </c>
      <c r="B508" s="16">
        <v>7</v>
      </c>
      <c r="C508" s="42">
        <v>7</v>
      </c>
      <c r="D508" s="42"/>
      <c r="E508" s="16"/>
      <c r="F508" s="50"/>
      <c r="G508" s="50"/>
      <c r="H508" s="42"/>
      <c r="I508" s="307"/>
      <c r="J508" s="306"/>
      <c r="K508" s="10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1:35" s="3" customFormat="1" ht="24.75" customHeight="1">
      <c r="A509" s="184" t="s">
        <v>122</v>
      </c>
      <c r="B509" s="188">
        <f>C509*1.02</f>
        <v>32.413333333333334</v>
      </c>
      <c r="C509" s="142">
        <v>31.77777777777778</v>
      </c>
      <c r="D509" s="142"/>
      <c r="E509" s="153"/>
      <c r="F509" s="145"/>
      <c r="G509" s="145"/>
      <c r="H509" s="152"/>
      <c r="I509" s="306"/>
      <c r="J509" s="306"/>
      <c r="K509" s="10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1:35" s="3" customFormat="1" ht="24.75" customHeight="1">
      <c r="A510" s="184" t="s">
        <v>227</v>
      </c>
      <c r="B510" s="187">
        <f>C510*1.18</f>
        <v>37.76</v>
      </c>
      <c r="C510" s="142">
        <v>32</v>
      </c>
      <c r="D510" s="142"/>
      <c r="E510" s="153"/>
      <c r="F510" s="145"/>
      <c r="G510" s="145"/>
      <c r="H510" s="152"/>
      <c r="I510" s="306"/>
      <c r="J510" s="306"/>
      <c r="K510" s="82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1:35" s="3" customFormat="1" ht="24.75" customHeight="1">
      <c r="A511" s="115" t="s">
        <v>95</v>
      </c>
      <c r="B511" s="16">
        <v>6</v>
      </c>
      <c r="C511" s="16">
        <v>6</v>
      </c>
      <c r="D511" s="42"/>
      <c r="E511" s="16"/>
      <c r="F511" s="50"/>
      <c r="G511" s="50"/>
      <c r="H511" s="42"/>
      <c r="I511" s="307"/>
      <c r="J511" s="306"/>
      <c r="K511" s="82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1:35" s="3" customFormat="1" ht="24.75" customHeight="1">
      <c r="A512" s="115" t="s">
        <v>27</v>
      </c>
      <c r="B512" s="16">
        <v>5</v>
      </c>
      <c r="C512" s="16">
        <v>5</v>
      </c>
      <c r="D512" s="16"/>
      <c r="E512" s="16"/>
      <c r="F512" s="50"/>
      <c r="G512" s="50"/>
      <c r="H512" s="42"/>
      <c r="I512" s="307"/>
      <c r="J512" s="306"/>
      <c r="K512" s="82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1:24" s="254" customFormat="1" ht="24.75" customHeight="1">
      <c r="A513" s="468" t="s">
        <v>146</v>
      </c>
      <c r="B513" s="468"/>
      <c r="C513" s="468"/>
      <c r="D513" s="41" t="s">
        <v>539</v>
      </c>
      <c r="E513" s="44">
        <v>2.6</v>
      </c>
      <c r="F513" s="44">
        <v>3.1</v>
      </c>
      <c r="G513" s="44">
        <v>20.5</v>
      </c>
      <c r="H513" s="45">
        <f>E513*4+F513*9+G513*4</f>
        <v>120.30000000000001</v>
      </c>
      <c r="I513" s="307">
        <v>9.277499999999998</v>
      </c>
      <c r="J513" s="306" t="s">
        <v>373</v>
      </c>
      <c r="K513" s="246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35" s="3" customFormat="1" ht="24.75" customHeight="1">
      <c r="A514" s="139" t="s">
        <v>21</v>
      </c>
      <c r="B514" s="187">
        <f>C514*1.33</f>
        <v>199.5</v>
      </c>
      <c r="C514" s="142">
        <v>150</v>
      </c>
      <c r="D514" s="153"/>
      <c r="E514" s="161"/>
      <c r="F514" s="161"/>
      <c r="G514" s="161"/>
      <c r="H514" s="142"/>
      <c r="I514" s="306"/>
      <c r="J514" s="306"/>
      <c r="K514" s="82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1:35" s="3" customFormat="1" ht="24.75" customHeight="1" thickBot="1">
      <c r="A515" s="115" t="s">
        <v>22</v>
      </c>
      <c r="B515" s="94">
        <f>C515*1.43</f>
        <v>214.5</v>
      </c>
      <c r="C515" s="142">
        <v>150</v>
      </c>
      <c r="D515" s="16"/>
      <c r="E515" s="50"/>
      <c r="F515" s="50"/>
      <c r="G515" s="50"/>
      <c r="H515" s="42"/>
      <c r="I515" s="307"/>
      <c r="J515" s="306"/>
      <c r="K515" s="82"/>
      <c r="L515" s="181" t="s">
        <v>42</v>
      </c>
      <c r="M515" s="106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1:35" s="3" customFormat="1" ht="24.75" customHeight="1">
      <c r="A516" s="123" t="s">
        <v>23</v>
      </c>
      <c r="B516" s="94">
        <f>C516*1.54</f>
        <v>231</v>
      </c>
      <c r="C516" s="142">
        <v>150</v>
      </c>
      <c r="D516" s="16"/>
      <c r="E516" s="50"/>
      <c r="F516" s="50"/>
      <c r="G516" s="50"/>
      <c r="H516" s="42"/>
      <c r="I516" s="307"/>
      <c r="J516" s="306"/>
      <c r="K516" s="82"/>
      <c r="L516" s="59" t="s">
        <v>72</v>
      </c>
      <c r="M516" s="103">
        <f>D611+D655</f>
        <v>65</v>
      </c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1:35" s="9" customFormat="1" ht="24.75" customHeight="1">
      <c r="A517" s="123" t="s">
        <v>24</v>
      </c>
      <c r="B517" s="94">
        <f>C517*1.67</f>
        <v>250.5</v>
      </c>
      <c r="C517" s="142">
        <v>150</v>
      </c>
      <c r="D517" s="16"/>
      <c r="E517" s="50"/>
      <c r="F517" s="50"/>
      <c r="G517" s="50"/>
      <c r="H517" s="42"/>
      <c r="I517" s="307"/>
      <c r="J517" s="306"/>
      <c r="K517" s="82"/>
      <c r="L517" s="35" t="s">
        <v>82</v>
      </c>
      <c r="M517" s="103">
        <f>D610+D561+D654+B544+C555+C591+B595</f>
        <v>115</v>
      </c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</row>
    <row r="518" spans="1:13" ht="24.75" customHeight="1">
      <c r="A518" s="115" t="s">
        <v>27</v>
      </c>
      <c r="B518" s="42">
        <v>5</v>
      </c>
      <c r="C518" s="42">
        <v>5</v>
      </c>
      <c r="D518" s="16"/>
      <c r="E518" s="50"/>
      <c r="F518" s="50"/>
      <c r="G518" s="50"/>
      <c r="H518" s="42"/>
      <c r="I518" s="307"/>
      <c r="J518" s="306"/>
      <c r="L518" s="35" t="s">
        <v>83</v>
      </c>
      <c r="M518" s="103">
        <f>B614+B643</f>
        <v>48.6</v>
      </c>
    </row>
    <row r="519" spans="1:13" ht="24.75" customHeight="1">
      <c r="A519" s="123" t="s">
        <v>70</v>
      </c>
      <c r="B519" s="94">
        <f>C519*1.35</f>
        <v>4.050000000000001</v>
      </c>
      <c r="C519" s="112">
        <v>3</v>
      </c>
      <c r="D519" s="16"/>
      <c r="E519" s="50"/>
      <c r="F519" s="50"/>
      <c r="G519" s="50"/>
      <c r="H519" s="42"/>
      <c r="I519" s="307"/>
      <c r="J519" s="306"/>
      <c r="L519" s="36" t="s">
        <v>126</v>
      </c>
      <c r="M519" s="103">
        <f>B550+B537</f>
        <v>17.083333333333332</v>
      </c>
    </row>
    <row r="520" spans="1:13" ht="24.75" customHeight="1">
      <c r="A520" s="461" t="s">
        <v>14</v>
      </c>
      <c r="B520" s="461"/>
      <c r="C520" s="461"/>
      <c r="D520" s="151" t="s">
        <v>15</v>
      </c>
      <c r="E520" s="145">
        <v>0.2</v>
      </c>
      <c r="F520" s="145">
        <v>0</v>
      </c>
      <c r="G520" s="145">
        <v>15.3</v>
      </c>
      <c r="H520" s="152">
        <v>58</v>
      </c>
      <c r="I520" s="306">
        <v>0.8</v>
      </c>
      <c r="J520" s="306" t="s">
        <v>391</v>
      </c>
      <c r="L520" s="39" t="s">
        <v>330</v>
      </c>
      <c r="M520" s="102">
        <f>B648</f>
        <v>53</v>
      </c>
    </row>
    <row r="521" spans="1:13" ht="24.75" customHeight="1">
      <c r="A521" s="139" t="s">
        <v>16</v>
      </c>
      <c r="B521" s="16">
        <v>0.4</v>
      </c>
      <c r="C521" s="16">
        <v>0.4</v>
      </c>
      <c r="D521" s="153"/>
      <c r="E521" s="161"/>
      <c r="F521" s="161"/>
      <c r="G521" s="161"/>
      <c r="H521" s="142"/>
      <c r="I521" s="306"/>
      <c r="J521" s="306"/>
      <c r="L521" s="35" t="s">
        <v>138</v>
      </c>
      <c r="M521" s="103">
        <f>B575+B600</f>
        <v>144.97000000000003</v>
      </c>
    </row>
    <row r="522" spans="1:13" ht="24.75" customHeight="1">
      <c r="A522" s="184" t="s">
        <v>12</v>
      </c>
      <c r="B522" s="153">
        <v>15</v>
      </c>
      <c r="C522" s="153">
        <v>15</v>
      </c>
      <c r="D522" s="153"/>
      <c r="E522" s="161"/>
      <c r="F522" s="161"/>
      <c r="G522" s="161"/>
      <c r="H522" s="142"/>
      <c r="I522" s="306"/>
      <c r="J522" s="306"/>
      <c r="K522" s="10"/>
      <c r="L522" s="35" t="s">
        <v>84</v>
      </c>
      <c r="M522" s="103">
        <f>B566+B567+B579+B580+B581+B585++B624+B631+B634+B592+B598+B604+B606+B607</f>
        <v>321.204</v>
      </c>
    </row>
    <row r="523" spans="1:13" ht="24.75" customHeight="1">
      <c r="A523" s="184" t="s">
        <v>17</v>
      </c>
      <c r="B523" s="153">
        <v>6</v>
      </c>
      <c r="C523" s="153">
        <v>5</v>
      </c>
      <c r="D523" s="153"/>
      <c r="E523" s="161"/>
      <c r="F523" s="161"/>
      <c r="G523" s="161"/>
      <c r="H523" s="142"/>
      <c r="I523" s="161"/>
      <c r="J523" s="161"/>
      <c r="K523" s="10"/>
      <c r="L523" s="35" t="s">
        <v>85</v>
      </c>
      <c r="M523" s="103">
        <f>D563+B541+B583</f>
        <v>216.69833333333332</v>
      </c>
    </row>
    <row r="524" spans="1:35" ht="24.75" customHeight="1">
      <c r="A524" s="461" t="s">
        <v>258</v>
      </c>
      <c r="B524" s="461"/>
      <c r="C524" s="461"/>
      <c r="D524" s="151">
        <v>30</v>
      </c>
      <c r="E524" s="145">
        <v>2.46</v>
      </c>
      <c r="F524" s="145">
        <v>0.42</v>
      </c>
      <c r="G524" s="145">
        <v>11.4</v>
      </c>
      <c r="H524" s="152">
        <v>58.8</v>
      </c>
      <c r="I524" s="306">
        <f>I457/2</f>
        <v>0</v>
      </c>
      <c r="J524" s="306"/>
      <c r="K524" s="10"/>
      <c r="L524" s="35" t="s">
        <v>127</v>
      </c>
      <c r="M524" s="103">
        <f>D609</f>
        <v>200</v>
      </c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</row>
    <row r="525" spans="1:35" ht="24.75" customHeight="1">
      <c r="A525" s="461" t="s">
        <v>72</v>
      </c>
      <c r="B525" s="461"/>
      <c r="C525" s="461"/>
      <c r="D525" s="151">
        <v>20</v>
      </c>
      <c r="E525" s="145">
        <v>1.36</v>
      </c>
      <c r="F525" s="145">
        <v>0.24</v>
      </c>
      <c r="G525" s="145">
        <v>6.72</v>
      </c>
      <c r="H525" s="152">
        <v>34.48</v>
      </c>
      <c r="I525" s="306">
        <v>0</v>
      </c>
      <c r="J525" s="306"/>
      <c r="K525" s="10"/>
      <c r="L525" s="35" t="s">
        <v>86</v>
      </c>
      <c r="M525" s="103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</row>
    <row r="526" spans="1:35" ht="30.75" customHeight="1">
      <c r="A526" s="466" t="s">
        <v>232</v>
      </c>
      <c r="B526" s="466"/>
      <c r="C526" s="466"/>
      <c r="D526" s="466"/>
      <c r="E526" s="466"/>
      <c r="F526" s="466"/>
      <c r="G526" s="466"/>
      <c r="H526" s="466"/>
      <c r="I526" s="466"/>
      <c r="J526" s="466"/>
      <c r="K526" s="11"/>
      <c r="L526" s="35" t="s">
        <v>87</v>
      </c>
      <c r="M526" s="103">
        <f>B539+B560+B628+B615+B553+C652</f>
        <v>165.7</v>
      </c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</row>
    <row r="527" spans="1:35" ht="24.75" customHeight="1">
      <c r="A527" s="274" t="s">
        <v>257</v>
      </c>
      <c r="B527" s="16">
        <v>154</v>
      </c>
      <c r="C527" s="112">
        <v>150</v>
      </c>
      <c r="D527" s="41">
        <v>150</v>
      </c>
      <c r="E527" s="44">
        <v>3.2</v>
      </c>
      <c r="F527" s="44">
        <v>3.6</v>
      </c>
      <c r="G527" s="44">
        <v>6</v>
      </c>
      <c r="H527" s="45">
        <f>E527*4+F527*9+G527*4</f>
        <v>69.2</v>
      </c>
      <c r="I527" s="307">
        <v>1.02</v>
      </c>
      <c r="J527" s="306" t="s">
        <v>372</v>
      </c>
      <c r="K527" s="11"/>
      <c r="L527" s="240" t="s">
        <v>207</v>
      </c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</row>
    <row r="528" spans="1:35" ht="24.75" customHeight="1">
      <c r="A528" s="478" t="s">
        <v>141</v>
      </c>
      <c r="B528" s="478"/>
      <c r="C528" s="478"/>
      <c r="D528" s="478"/>
      <c r="E528" s="216">
        <f>E410+E526+E462+E459+E412+E392</f>
        <v>63.69</v>
      </c>
      <c r="F528" s="216">
        <f>F410+F526+F462+F459+F412+F392</f>
        <v>72.89999999999999</v>
      </c>
      <c r="G528" s="216">
        <f>G410+G526+G462+G459+G412+G392</f>
        <v>307.07</v>
      </c>
      <c r="H528" s="217">
        <f>H410+H526+H462+H459+H412+H392</f>
        <v>2134.16</v>
      </c>
      <c r="I528" s="318">
        <f>I410+I526+I462+I459+I412+I392</f>
        <v>75.26615384615384</v>
      </c>
      <c r="J528" s="324"/>
      <c r="K528" s="11"/>
      <c r="L528" s="221" t="s">
        <v>128</v>
      </c>
      <c r="M528" s="222">
        <f>B558</f>
        <v>1.4</v>
      </c>
      <c r="N528" s="3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</row>
    <row r="529" spans="1:35" ht="24.75" customHeight="1">
      <c r="A529" s="480" t="s">
        <v>0</v>
      </c>
      <c r="B529" s="480"/>
      <c r="C529" s="480"/>
      <c r="D529" s="480"/>
      <c r="E529" s="480"/>
      <c r="F529" s="480"/>
      <c r="G529" s="480"/>
      <c r="H529" s="480"/>
      <c r="I529" s="480"/>
      <c r="J529" s="480"/>
      <c r="K529" s="11"/>
      <c r="L529" s="35" t="s">
        <v>88</v>
      </c>
      <c r="M529" s="103">
        <f>B627</f>
        <v>0.4</v>
      </c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</row>
    <row r="530" spans="1:13" ht="24.75" customHeight="1">
      <c r="A530" s="493" t="s">
        <v>42</v>
      </c>
      <c r="B530" s="493"/>
      <c r="C530" s="493"/>
      <c r="D530" s="493"/>
      <c r="E530" s="493"/>
      <c r="F530" s="493"/>
      <c r="G530" s="493"/>
      <c r="H530" s="493"/>
      <c r="I530" s="493"/>
      <c r="J530" s="493"/>
      <c r="K530" s="10"/>
      <c r="L530" s="35" t="s">
        <v>137</v>
      </c>
      <c r="M530" s="103">
        <f>B572+B636</f>
        <v>139.76</v>
      </c>
    </row>
    <row r="531" spans="1:13" ht="24.75" customHeight="1">
      <c r="A531" s="455" t="s">
        <v>2</v>
      </c>
      <c r="B531" s="449" t="s">
        <v>3</v>
      </c>
      <c r="C531" s="449" t="s">
        <v>4</v>
      </c>
      <c r="D531" s="455" t="s">
        <v>5</v>
      </c>
      <c r="E531" s="455"/>
      <c r="F531" s="455"/>
      <c r="G531" s="455"/>
      <c r="H531" s="455"/>
      <c r="I531" s="455"/>
      <c r="J531" s="446" t="s">
        <v>311</v>
      </c>
      <c r="K531" s="10"/>
      <c r="L531" s="240" t="s">
        <v>208</v>
      </c>
      <c r="M531" s="102">
        <f>B589</f>
        <v>86</v>
      </c>
    </row>
    <row r="532" spans="1:13" ht="24.75" customHeight="1">
      <c r="A532" s="455"/>
      <c r="B532" s="449"/>
      <c r="C532" s="449"/>
      <c r="D532" s="449" t="s">
        <v>6</v>
      </c>
      <c r="E532" s="467" t="s">
        <v>7</v>
      </c>
      <c r="F532" s="467" t="s">
        <v>8</v>
      </c>
      <c r="G532" s="467" t="s">
        <v>9</v>
      </c>
      <c r="H532" s="453" t="s">
        <v>10</v>
      </c>
      <c r="I532" s="444" t="s">
        <v>312</v>
      </c>
      <c r="J532" s="447"/>
      <c r="K532" s="10"/>
      <c r="L532" s="35" t="s">
        <v>89</v>
      </c>
      <c r="M532" s="102">
        <f>B623</f>
        <v>59.28</v>
      </c>
    </row>
    <row r="533" spans="1:13" ht="24.75" customHeight="1">
      <c r="A533" s="455"/>
      <c r="B533" s="449"/>
      <c r="C533" s="449"/>
      <c r="D533" s="449"/>
      <c r="E533" s="467"/>
      <c r="F533" s="467"/>
      <c r="G533" s="467"/>
      <c r="H533" s="453"/>
      <c r="I533" s="445"/>
      <c r="J533" s="448"/>
      <c r="K533" s="14"/>
      <c r="L533" s="35" t="s">
        <v>130</v>
      </c>
      <c r="M533" s="102">
        <f>B573+B574</f>
        <v>23</v>
      </c>
    </row>
    <row r="534" spans="1:13" ht="24.75" customHeight="1">
      <c r="A534" s="466" t="s">
        <v>11</v>
      </c>
      <c r="B534" s="466"/>
      <c r="C534" s="466"/>
      <c r="D534" s="466"/>
      <c r="E534" s="128">
        <f>SUM(E535:E563)</f>
        <v>16.729999999999997</v>
      </c>
      <c r="F534" s="128">
        <f>SUM(F535:F563)</f>
        <v>21.41</v>
      </c>
      <c r="G534" s="128">
        <f>SUM(G535:G563)</f>
        <v>84.1</v>
      </c>
      <c r="H534" s="116">
        <f>SUM(H535:H563)</f>
        <v>596.01</v>
      </c>
      <c r="I534" s="128">
        <f>SUM(I535:I563)</f>
        <v>14.895</v>
      </c>
      <c r="J534" s="159"/>
      <c r="K534" s="14"/>
      <c r="L534" s="36" t="s">
        <v>131</v>
      </c>
      <c r="M534" s="102" t="e">
        <f>B559+B548+B641+#REF!+B546+B593</f>
        <v>#REF!</v>
      </c>
    </row>
    <row r="535" spans="1:13" ht="24.75" customHeight="1">
      <c r="A535" s="482" t="s">
        <v>407</v>
      </c>
      <c r="B535" s="482"/>
      <c r="C535" s="482"/>
      <c r="D535" s="92" t="s">
        <v>535</v>
      </c>
      <c r="E535" s="44">
        <v>5.8</v>
      </c>
      <c r="F535" s="44">
        <v>6</v>
      </c>
      <c r="G535" s="44">
        <v>17.5</v>
      </c>
      <c r="H535" s="152">
        <f>E535*4+F535*9+G535*4</f>
        <v>147.2</v>
      </c>
      <c r="I535" s="306">
        <v>1.7850000000000001</v>
      </c>
      <c r="J535" s="306" t="s">
        <v>348</v>
      </c>
      <c r="K535" s="14"/>
      <c r="L535" s="39" t="s">
        <v>331</v>
      </c>
      <c r="M535" s="106">
        <f>B657</f>
        <v>154</v>
      </c>
    </row>
    <row r="536" spans="1:13" ht="24.75" customHeight="1">
      <c r="A536" s="114" t="s">
        <v>403</v>
      </c>
      <c r="B536" s="91">
        <v>51</v>
      </c>
      <c r="C536" s="91">
        <v>50</v>
      </c>
      <c r="D536" s="183"/>
      <c r="E536" s="183"/>
      <c r="F536" s="183"/>
      <c r="G536" s="183"/>
      <c r="H536" s="187"/>
      <c r="I536" s="317"/>
      <c r="J536" s="317"/>
      <c r="K536" s="15"/>
      <c r="L536" s="35" t="s">
        <v>90</v>
      </c>
      <c r="M536" s="102">
        <f>B536</f>
        <v>51</v>
      </c>
    </row>
    <row r="537" spans="1:14" ht="24.75" customHeight="1">
      <c r="A537" s="182" t="s">
        <v>174</v>
      </c>
      <c r="B537" s="91">
        <v>4.083333333333333</v>
      </c>
      <c r="C537" s="91">
        <v>4.083333333333333</v>
      </c>
      <c r="D537" s="183"/>
      <c r="E537" s="183"/>
      <c r="F537" s="183"/>
      <c r="G537" s="183"/>
      <c r="H537" s="183"/>
      <c r="I537" s="183"/>
      <c r="J537" s="317"/>
      <c r="K537" s="75"/>
      <c r="L537" s="35" t="s">
        <v>91</v>
      </c>
      <c r="M537" s="102">
        <f>B584+B545</f>
        <v>6.75</v>
      </c>
      <c r="N537" s="25"/>
    </row>
    <row r="538" spans="1:14" ht="24.75" customHeight="1">
      <c r="A538" s="182" t="s">
        <v>175</v>
      </c>
      <c r="B538" s="91">
        <v>4.666666666666667</v>
      </c>
      <c r="C538" s="91">
        <v>4.666666666666667</v>
      </c>
      <c r="D538" s="183"/>
      <c r="E538" s="183"/>
      <c r="F538" s="183"/>
      <c r="G538" s="183"/>
      <c r="H538" s="187"/>
      <c r="I538" s="317"/>
      <c r="J538" s="317"/>
      <c r="K538" s="75"/>
      <c r="L538" s="221" t="s">
        <v>134</v>
      </c>
      <c r="M538" s="133"/>
      <c r="N538" s="25"/>
    </row>
    <row r="539" spans="1:24" s="165" customFormat="1" ht="24.75" customHeight="1">
      <c r="A539" s="184" t="s">
        <v>12</v>
      </c>
      <c r="B539" s="187">
        <v>4</v>
      </c>
      <c r="C539" s="187">
        <v>4</v>
      </c>
      <c r="D539" s="183"/>
      <c r="E539" s="183"/>
      <c r="F539" s="183"/>
      <c r="G539" s="183"/>
      <c r="H539" s="187"/>
      <c r="I539" s="317"/>
      <c r="J539" s="317"/>
      <c r="K539" s="347"/>
      <c r="L539" s="35" t="s">
        <v>92</v>
      </c>
      <c r="M539" s="103">
        <f>B543+B582+B619+B649+B556+B642+B552+B645+B646</f>
        <v>36.900000000000006</v>
      </c>
      <c r="N539" s="25"/>
      <c r="O539" s="34"/>
      <c r="P539" s="34"/>
      <c r="Q539" s="34"/>
      <c r="R539" s="34"/>
      <c r="S539" s="34"/>
      <c r="T539" s="34"/>
      <c r="U539" s="34"/>
      <c r="V539" s="34"/>
      <c r="W539" s="34"/>
      <c r="X539" s="34"/>
    </row>
    <row r="540" spans="1:14" ht="24.75" customHeight="1">
      <c r="A540" s="115" t="s">
        <v>29</v>
      </c>
      <c r="B540" s="91">
        <v>3</v>
      </c>
      <c r="C540" s="91">
        <v>3</v>
      </c>
      <c r="D540" s="183"/>
      <c r="E540" s="183"/>
      <c r="F540" s="183"/>
      <c r="G540" s="183"/>
      <c r="H540" s="187"/>
      <c r="I540" s="317"/>
      <c r="J540" s="317"/>
      <c r="K540" s="87"/>
      <c r="L540" s="35" t="s">
        <v>65</v>
      </c>
      <c r="M540" s="103">
        <f>B617+B625+B569+C596+B608</f>
        <v>15.6</v>
      </c>
      <c r="N540" s="25"/>
    </row>
    <row r="541" spans="1:35" s="3" customFormat="1" ht="24.75" customHeight="1" thickBot="1">
      <c r="A541" s="171" t="s">
        <v>176</v>
      </c>
      <c r="B541" s="42">
        <f>C541*1.43</f>
        <v>31.698333333333334</v>
      </c>
      <c r="C541" s="91">
        <v>22.166666666666668</v>
      </c>
      <c r="D541" s="183"/>
      <c r="E541" s="183"/>
      <c r="F541" s="183"/>
      <c r="G541" s="183"/>
      <c r="H541" s="187"/>
      <c r="I541" s="317"/>
      <c r="J541" s="317"/>
      <c r="K541" s="15"/>
      <c r="L541" s="37" t="s">
        <v>93</v>
      </c>
      <c r="M541" s="102">
        <f>B540+B639+B594</f>
        <v>23</v>
      </c>
      <c r="N541" s="2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1:24" ht="24.75" customHeight="1">
      <c r="A542" s="160" t="s">
        <v>177</v>
      </c>
      <c r="B542" s="92"/>
      <c r="C542" s="92">
        <v>17.5</v>
      </c>
      <c r="D542" s="183"/>
      <c r="E542" s="183"/>
      <c r="F542" s="183"/>
      <c r="G542" s="183"/>
      <c r="H542" s="187"/>
      <c r="I542" s="317"/>
      <c r="J542" s="317"/>
      <c r="K542" s="14"/>
      <c r="L542" s="39" t="s">
        <v>209</v>
      </c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13" ht="24.75" customHeight="1">
      <c r="A543" s="139" t="s">
        <v>178</v>
      </c>
      <c r="B543" s="188">
        <v>1.2</v>
      </c>
      <c r="C543" s="188">
        <v>1.1666666666666667</v>
      </c>
      <c r="D543" s="183"/>
      <c r="E543" s="183"/>
      <c r="F543" s="199"/>
      <c r="G543" s="199"/>
      <c r="H543" s="201"/>
      <c r="I543" s="309"/>
      <c r="J543" s="317"/>
      <c r="K543" s="14"/>
      <c r="L543" s="39" t="s">
        <v>219</v>
      </c>
      <c r="M543" s="244">
        <f>B620</f>
        <v>0.7</v>
      </c>
    </row>
    <row r="544" spans="1:11" ht="24.75" customHeight="1">
      <c r="A544" s="182" t="s">
        <v>179</v>
      </c>
      <c r="B544" s="91">
        <v>3</v>
      </c>
      <c r="C544" s="91">
        <v>3</v>
      </c>
      <c r="D544" s="183"/>
      <c r="E544" s="183"/>
      <c r="F544" s="199"/>
      <c r="G544" s="199"/>
      <c r="H544" s="201"/>
      <c r="I544" s="309"/>
      <c r="J544" s="317"/>
      <c r="K544" s="10"/>
    </row>
    <row r="545" spans="1:11" ht="24.75" customHeight="1">
      <c r="A545" s="115" t="s">
        <v>95</v>
      </c>
      <c r="B545" s="188">
        <v>1.75</v>
      </c>
      <c r="C545" s="188">
        <v>1.75</v>
      </c>
      <c r="D545" s="183"/>
      <c r="E545" s="183"/>
      <c r="F545" s="199"/>
      <c r="G545" s="199"/>
      <c r="H545" s="201"/>
      <c r="I545" s="309"/>
      <c r="J545" s="317"/>
      <c r="K545" s="10"/>
    </row>
    <row r="546" spans="1:11" ht="24.75" customHeight="1">
      <c r="A546" s="115" t="s">
        <v>405</v>
      </c>
      <c r="B546" s="42">
        <v>20</v>
      </c>
      <c r="C546" s="42">
        <v>20</v>
      </c>
      <c r="D546" s="142"/>
      <c r="E546" s="142"/>
      <c r="F546" s="161"/>
      <c r="G546" s="161"/>
      <c r="H546" s="142"/>
      <c r="I546" s="306"/>
      <c r="J546" s="306"/>
      <c r="K546" s="14"/>
    </row>
    <row r="547" spans="1:11" ht="24.75" customHeight="1">
      <c r="A547" s="481" t="s">
        <v>282</v>
      </c>
      <c r="B547" s="481"/>
      <c r="C547" s="481"/>
      <c r="D547" s="151">
        <v>220</v>
      </c>
      <c r="E547" s="151">
        <v>3.8</v>
      </c>
      <c r="F547" s="145">
        <v>4</v>
      </c>
      <c r="G547" s="145">
        <v>15</v>
      </c>
      <c r="H547" s="152">
        <f>G547*4+F547*9+E547*4</f>
        <v>111.2</v>
      </c>
      <c r="I547" s="306">
        <v>0.61</v>
      </c>
      <c r="J547" s="306" t="s">
        <v>336</v>
      </c>
      <c r="K547" s="13"/>
    </row>
    <row r="548" spans="1:11" ht="24.75" customHeight="1">
      <c r="A548" s="115" t="s">
        <v>149</v>
      </c>
      <c r="B548" s="178">
        <v>110</v>
      </c>
      <c r="C548" s="178">
        <v>110</v>
      </c>
      <c r="D548" s="95"/>
      <c r="E548" s="41"/>
      <c r="F548" s="41"/>
      <c r="G548" s="41"/>
      <c r="H548" s="45"/>
      <c r="I548" s="317"/>
      <c r="J548" s="317"/>
      <c r="K548" s="14"/>
    </row>
    <row r="549" spans="1:11" ht="24.75" customHeight="1">
      <c r="A549" s="339" t="s">
        <v>110</v>
      </c>
      <c r="B549" s="178">
        <v>121</v>
      </c>
      <c r="C549" s="178">
        <v>121</v>
      </c>
      <c r="D549" s="95"/>
      <c r="E549" s="95"/>
      <c r="F549" s="95"/>
      <c r="G549" s="95"/>
      <c r="H549" s="97"/>
      <c r="I549" s="317"/>
      <c r="J549" s="317"/>
      <c r="K549" s="62"/>
    </row>
    <row r="550" spans="1:11" ht="24.75" customHeight="1">
      <c r="A550" s="340" t="s">
        <v>337</v>
      </c>
      <c r="B550" s="157">
        <v>13</v>
      </c>
      <c r="C550" s="157">
        <v>13</v>
      </c>
      <c r="D550" s="95"/>
      <c r="E550" s="157"/>
      <c r="F550" s="157"/>
      <c r="G550" s="157"/>
      <c r="H550" s="232"/>
      <c r="I550" s="317"/>
      <c r="J550" s="317"/>
      <c r="K550" s="10"/>
    </row>
    <row r="551" spans="1:11" ht="24.75" customHeight="1">
      <c r="A551" s="340" t="s">
        <v>338</v>
      </c>
      <c r="B551" s="157">
        <v>18</v>
      </c>
      <c r="C551" s="157">
        <v>18</v>
      </c>
      <c r="D551" s="95"/>
      <c r="E551" s="157"/>
      <c r="F551" s="157"/>
      <c r="G551" s="157"/>
      <c r="H551" s="232"/>
      <c r="I551" s="309"/>
      <c r="J551" s="317"/>
      <c r="K551" s="58"/>
    </row>
    <row r="552" spans="1:11" ht="24.75" customHeight="1">
      <c r="A552" s="156" t="s">
        <v>27</v>
      </c>
      <c r="B552" s="231">
        <v>1.8</v>
      </c>
      <c r="C552" s="231">
        <v>1.8</v>
      </c>
      <c r="D552" s="95"/>
      <c r="E552" s="95"/>
      <c r="F552" s="157"/>
      <c r="G552" s="157"/>
      <c r="H552" s="232"/>
      <c r="I552" s="309"/>
      <c r="J552" s="317"/>
      <c r="K552" s="58"/>
    </row>
    <row r="553" spans="1:11" ht="24.75" customHeight="1">
      <c r="A553" s="139" t="s">
        <v>12</v>
      </c>
      <c r="B553" s="161">
        <v>2.6</v>
      </c>
      <c r="C553" s="161">
        <v>2.6</v>
      </c>
      <c r="D553" s="151"/>
      <c r="E553" s="151"/>
      <c r="F553" s="153"/>
      <c r="G553" s="153"/>
      <c r="H553" s="142"/>
      <c r="I553" s="317"/>
      <c r="J553" s="317"/>
      <c r="K553" s="58"/>
    </row>
    <row r="554" spans="1:24" s="165" customFormat="1" ht="24.75" customHeight="1">
      <c r="A554" s="49" t="s">
        <v>354</v>
      </c>
      <c r="B554" s="41"/>
      <c r="C554" s="41"/>
      <c r="D554" s="80" t="s">
        <v>333</v>
      </c>
      <c r="E554" s="145">
        <v>1.6</v>
      </c>
      <c r="F554" s="145">
        <v>8.7</v>
      </c>
      <c r="G554" s="145">
        <v>9.9</v>
      </c>
      <c r="H554" s="152">
        <f>E554*4+F554*9+G554*4</f>
        <v>124.30000000000001</v>
      </c>
      <c r="I554" s="306">
        <v>0</v>
      </c>
      <c r="J554" s="306" t="s">
        <v>357</v>
      </c>
      <c r="K554" s="242"/>
      <c r="N554" s="7"/>
      <c r="O554" s="34"/>
      <c r="P554" s="34"/>
      <c r="Q554" s="34"/>
      <c r="R554" s="34"/>
      <c r="S554" s="34"/>
      <c r="T554" s="34"/>
      <c r="U554" s="34"/>
      <c r="V554" s="34"/>
      <c r="W554" s="34"/>
      <c r="X554" s="34"/>
    </row>
    <row r="555" spans="1:35" ht="24.75" customHeight="1">
      <c r="A555" s="115" t="s">
        <v>356</v>
      </c>
      <c r="B555" s="16">
        <v>20</v>
      </c>
      <c r="C555" s="16">
        <v>20</v>
      </c>
      <c r="D555" s="16"/>
      <c r="E555" s="50"/>
      <c r="F555" s="50"/>
      <c r="G555" s="50"/>
      <c r="H555" s="42"/>
      <c r="I555" s="306"/>
      <c r="J555" s="306"/>
      <c r="K555" s="58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</row>
    <row r="556" spans="1:11" ht="24.75" customHeight="1">
      <c r="A556" s="172" t="s">
        <v>355</v>
      </c>
      <c r="B556" s="153">
        <v>10</v>
      </c>
      <c r="C556" s="153">
        <v>10</v>
      </c>
      <c r="D556" s="151"/>
      <c r="E556" s="145"/>
      <c r="F556" s="145"/>
      <c r="G556" s="145"/>
      <c r="H556" s="152"/>
      <c r="I556" s="306"/>
      <c r="J556" s="306"/>
      <c r="K556" s="58"/>
    </row>
    <row r="557" spans="1:24" ht="24.75" customHeight="1">
      <c r="A557" s="461" t="s">
        <v>152</v>
      </c>
      <c r="B557" s="461"/>
      <c r="C557" s="461"/>
      <c r="D557" s="151">
        <v>200</v>
      </c>
      <c r="E557" s="151">
        <v>3.9</v>
      </c>
      <c r="F557" s="151">
        <v>2.5</v>
      </c>
      <c r="G557" s="145">
        <v>18</v>
      </c>
      <c r="H557" s="152">
        <f>E557*4+F557*9+G557*4</f>
        <v>110.1</v>
      </c>
      <c r="I557" s="306">
        <v>0.5</v>
      </c>
      <c r="J557" s="306" t="s">
        <v>362</v>
      </c>
      <c r="K557" s="10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11" ht="24.75" customHeight="1">
      <c r="A558" s="184" t="s">
        <v>181</v>
      </c>
      <c r="B558" s="183">
        <v>1.4</v>
      </c>
      <c r="C558" s="183">
        <v>1.4</v>
      </c>
      <c r="D558" s="183"/>
      <c r="E558" s="151"/>
      <c r="F558" s="151"/>
      <c r="G558" s="145"/>
      <c r="H558" s="45"/>
      <c r="I558" s="307"/>
      <c r="J558" s="306"/>
      <c r="K558" s="14"/>
    </row>
    <row r="559" spans="1:11" ht="24.75" customHeight="1">
      <c r="A559" s="184" t="s">
        <v>149</v>
      </c>
      <c r="B559" s="183">
        <v>100</v>
      </c>
      <c r="C559" s="183">
        <v>100</v>
      </c>
      <c r="D559" s="183"/>
      <c r="E559" s="183"/>
      <c r="F559" s="183"/>
      <c r="G559" s="183"/>
      <c r="H559" s="187"/>
      <c r="I559" s="183"/>
      <c r="J559" s="317"/>
      <c r="K559" s="14"/>
    </row>
    <row r="560" spans="1:11" ht="24.75" customHeight="1">
      <c r="A560" s="139" t="s">
        <v>12</v>
      </c>
      <c r="B560" s="153">
        <v>15</v>
      </c>
      <c r="C560" s="153">
        <v>15</v>
      </c>
      <c r="D560" s="153"/>
      <c r="E560" s="161"/>
      <c r="F560" s="161"/>
      <c r="G560" s="161"/>
      <c r="H560" s="161"/>
      <c r="I560" s="161"/>
      <c r="J560" s="306"/>
      <c r="K560" s="14"/>
    </row>
    <row r="561" spans="1:11" ht="24.75" customHeight="1">
      <c r="A561" s="461" t="s">
        <v>258</v>
      </c>
      <c r="B561" s="461"/>
      <c r="C561" s="461"/>
      <c r="D561" s="151">
        <v>15</v>
      </c>
      <c r="E561" s="145">
        <v>1.23</v>
      </c>
      <c r="F561" s="145">
        <v>0.21000000000000002</v>
      </c>
      <c r="G561" s="145">
        <v>5.7</v>
      </c>
      <c r="H561" s="152">
        <v>29.610000000000003</v>
      </c>
      <c r="I561" s="306">
        <v>0</v>
      </c>
      <c r="J561" s="306"/>
      <c r="K561" s="14"/>
    </row>
    <row r="562" spans="1:11" ht="24.75" customHeight="1">
      <c r="A562" s="477" t="s">
        <v>151</v>
      </c>
      <c r="B562" s="477"/>
      <c r="C562" s="477"/>
      <c r="D562" s="477"/>
      <c r="E562" s="477"/>
      <c r="F562" s="477"/>
      <c r="G562" s="477"/>
      <c r="H562" s="477"/>
      <c r="I562" s="477"/>
      <c r="J562" s="477"/>
      <c r="K562" s="14"/>
    </row>
    <row r="563" spans="1:11" ht="24.75" customHeight="1">
      <c r="A563" s="472" t="s">
        <v>345</v>
      </c>
      <c r="B563" s="472"/>
      <c r="C563" s="472"/>
      <c r="D563" s="143">
        <v>180</v>
      </c>
      <c r="E563" s="145">
        <v>0.4</v>
      </c>
      <c r="F563" s="144">
        <v>0</v>
      </c>
      <c r="G563" s="145">
        <v>18</v>
      </c>
      <c r="H563" s="152">
        <f>E563*4+F563*9+G563*4</f>
        <v>73.6</v>
      </c>
      <c r="I563" s="306">
        <v>12</v>
      </c>
      <c r="J563" s="306"/>
      <c r="K563" s="14"/>
    </row>
    <row r="564" spans="1:11" ht="24.75" customHeight="1">
      <c r="A564" s="466" t="s">
        <v>18</v>
      </c>
      <c r="B564" s="466"/>
      <c r="C564" s="466"/>
      <c r="D564" s="466"/>
      <c r="E564" s="128">
        <f>E565+E570+E586+E597+E609+E610+E611</f>
        <v>24.000000000000004</v>
      </c>
      <c r="F564" s="128">
        <f>F565+F570+F586+F597+F609+F610+F611</f>
        <v>27.3</v>
      </c>
      <c r="G564" s="128">
        <f>G565+G570+G586+G597+G609+G610+G611</f>
        <v>98.385</v>
      </c>
      <c r="H564" s="116">
        <f>H565+H570+H586+H597+H609+H610+H611</f>
        <v>734.5400000000001</v>
      </c>
      <c r="I564" s="128">
        <f>I565+I570+I586+I597+I609+I610+I611</f>
        <v>99.89999999999999</v>
      </c>
      <c r="J564" s="159"/>
      <c r="K564" s="14"/>
    </row>
    <row r="565" spans="1:11" ht="24.75" customHeight="1">
      <c r="A565" s="479" t="s">
        <v>510</v>
      </c>
      <c r="B565" s="479"/>
      <c r="C565" s="479"/>
      <c r="D565" s="41">
        <v>70</v>
      </c>
      <c r="E565" s="44">
        <v>0.7</v>
      </c>
      <c r="F565" s="44">
        <v>4.1</v>
      </c>
      <c r="G565" s="44">
        <v>2.485</v>
      </c>
      <c r="H565" s="45">
        <f>E565*4+F565*9+G565*4</f>
        <v>49.63999999999999</v>
      </c>
      <c r="I565" s="307">
        <v>68</v>
      </c>
      <c r="J565" s="363" t="s">
        <v>434</v>
      </c>
      <c r="K565" s="14"/>
    </row>
    <row r="566" spans="1:11" ht="24.75" customHeight="1">
      <c r="A566" s="129" t="s">
        <v>170</v>
      </c>
      <c r="B566" s="42">
        <f>C566*1.33</f>
        <v>37.24</v>
      </c>
      <c r="C566" s="16">
        <v>28</v>
      </c>
      <c r="D566" s="41"/>
      <c r="E566" s="44"/>
      <c r="F566" s="44"/>
      <c r="G566" s="44"/>
      <c r="H566" s="45"/>
      <c r="I566" s="307"/>
      <c r="J566" s="306"/>
      <c r="K566" s="14"/>
    </row>
    <row r="567" spans="1:11" ht="24.75" customHeight="1">
      <c r="A567" s="184" t="s">
        <v>163</v>
      </c>
      <c r="B567" s="187">
        <f>C567*1.02</f>
        <v>40.8</v>
      </c>
      <c r="C567" s="153">
        <v>40</v>
      </c>
      <c r="D567" s="151"/>
      <c r="E567" s="145"/>
      <c r="F567" s="145"/>
      <c r="G567" s="145"/>
      <c r="H567" s="152"/>
      <c r="I567" s="306"/>
      <c r="J567" s="306"/>
      <c r="K567" s="14"/>
    </row>
    <row r="568" spans="1:35" ht="24.75" customHeight="1">
      <c r="A568" s="290" t="s">
        <v>226</v>
      </c>
      <c r="B568" s="187">
        <f>C568*1.05</f>
        <v>42</v>
      </c>
      <c r="C568" s="153">
        <v>40</v>
      </c>
      <c r="D568" s="151"/>
      <c r="E568" s="145"/>
      <c r="F568" s="145"/>
      <c r="G568" s="145"/>
      <c r="H568" s="152"/>
      <c r="I568" s="306"/>
      <c r="J568" s="306"/>
      <c r="K568" s="131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</row>
    <row r="569" spans="1:11" ht="24.75" customHeight="1">
      <c r="A569" s="123" t="s">
        <v>20</v>
      </c>
      <c r="B569" s="94">
        <v>4</v>
      </c>
      <c r="C569" s="16">
        <v>4</v>
      </c>
      <c r="D569" s="41"/>
      <c r="E569" s="44"/>
      <c r="F569" s="44"/>
      <c r="G569" s="44"/>
      <c r="H569" s="45"/>
      <c r="I569" s="307"/>
      <c r="J569" s="306"/>
      <c r="K569" s="14"/>
    </row>
    <row r="570" spans="1:35" s="3" customFormat="1" ht="24.75" customHeight="1">
      <c r="A570" s="508" t="s">
        <v>480</v>
      </c>
      <c r="B570" s="509"/>
      <c r="C570" s="522" t="s">
        <v>349</v>
      </c>
      <c r="D570" s="523"/>
      <c r="E570" s="145">
        <v>5.5</v>
      </c>
      <c r="F570" s="145">
        <v>8.9</v>
      </c>
      <c r="G570" s="145">
        <v>15.4</v>
      </c>
      <c r="H570" s="152">
        <f>E570*4+F570*9+G570*4</f>
        <v>163.70000000000002</v>
      </c>
      <c r="I570" s="306">
        <v>5.2</v>
      </c>
      <c r="J570" s="306" t="s">
        <v>374</v>
      </c>
      <c r="K570" s="1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1:11" ht="24.75" customHeight="1">
      <c r="A571" s="117" t="s">
        <v>69</v>
      </c>
      <c r="B571" s="196">
        <f>C571*1.18</f>
        <v>18.88</v>
      </c>
      <c r="C571" s="112">
        <v>16</v>
      </c>
      <c r="D571" s="41"/>
      <c r="E571" s="41"/>
      <c r="F571" s="44"/>
      <c r="G571" s="44"/>
      <c r="H571" s="45"/>
      <c r="I571" s="307"/>
      <c r="J571" s="306"/>
      <c r="K571" s="14"/>
    </row>
    <row r="572" spans="1:11" ht="24.75" customHeight="1">
      <c r="A572" s="195" t="s">
        <v>73</v>
      </c>
      <c r="B572" s="196">
        <f>C572*1.36</f>
        <v>21.76</v>
      </c>
      <c r="C572" s="112">
        <v>16</v>
      </c>
      <c r="D572" s="41"/>
      <c r="E572" s="41"/>
      <c r="F572" s="44"/>
      <c r="G572" s="44"/>
      <c r="H572" s="45"/>
      <c r="I572" s="307"/>
      <c r="J572" s="306"/>
      <c r="K572" s="14"/>
    </row>
    <row r="573" spans="1:11" ht="24.75" customHeight="1">
      <c r="A573" s="117" t="s">
        <v>307</v>
      </c>
      <c r="B573" s="23">
        <v>12</v>
      </c>
      <c r="C573" s="16">
        <v>10</v>
      </c>
      <c r="D573" s="41"/>
      <c r="E573" s="41"/>
      <c r="F573" s="44"/>
      <c r="G573" s="44"/>
      <c r="H573" s="45"/>
      <c r="I573" s="307"/>
      <c r="J573" s="306"/>
      <c r="K573" s="166"/>
    </row>
    <row r="574" spans="1:11" ht="24.75" customHeight="1">
      <c r="A574" s="234" t="s">
        <v>481</v>
      </c>
      <c r="B574" s="23">
        <v>11</v>
      </c>
      <c r="C574" s="16">
        <v>10</v>
      </c>
      <c r="D574" s="41"/>
      <c r="E574" s="41"/>
      <c r="F574" s="44"/>
      <c r="G574" s="44"/>
      <c r="H574" s="45"/>
      <c r="I574" s="307"/>
      <c r="J574" s="306"/>
      <c r="K574" s="1"/>
    </row>
    <row r="575" spans="1:11" ht="24.75" customHeight="1">
      <c r="A575" s="184" t="s">
        <v>21</v>
      </c>
      <c r="B575" s="187">
        <f>C575*1.33</f>
        <v>53.2</v>
      </c>
      <c r="C575" s="187">
        <v>40</v>
      </c>
      <c r="D575" s="187"/>
      <c r="E575" s="188"/>
      <c r="F575" s="188"/>
      <c r="G575" s="188"/>
      <c r="H575" s="187"/>
      <c r="I575" s="317"/>
      <c r="J575" s="317"/>
      <c r="K575" s="1"/>
    </row>
    <row r="576" spans="1:11" ht="24.75" customHeight="1">
      <c r="A576" s="123" t="s">
        <v>22</v>
      </c>
      <c r="B576" s="94">
        <f>C576*1.43</f>
        <v>57.199999999999996</v>
      </c>
      <c r="C576" s="187">
        <v>40</v>
      </c>
      <c r="D576" s="94"/>
      <c r="E576" s="140"/>
      <c r="F576" s="140"/>
      <c r="G576" s="140"/>
      <c r="H576" s="94"/>
      <c r="I576" s="316"/>
      <c r="J576" s="317"/>
      <c r="K576" s="1"/>
    </row>
    <row r="577" spans="1:11" ht="24.75" customHeight="1">
      <c r="A577" s="123" t="s">
        <v>23</v>
      </c>
      <c r="B577" s="94">
        <f>C577*1.54</f>
        <v>61.6</v>
      </c>
      <c r="C577" s="187">
        <v>40</v>
      </c>
      <c r="D577" s="94"/>
      <c r="E577" s="140"/>
      <c r="F577" s="140"/>
      <c r="G577" s="140"/>
      <c r="H577" s="94"/>
      <c r="I577" s="316"/>
      <c r="J577" s="317"/>
      <c r="K577" s="1"/>
    </row>
    <row r="578" spans="1:11" ht="24.75" customHeight="1">
      <c r="A578" s="123" t="s">
        <v>24</v>
      </c>
      <c r="B578" s="94">
        <f>C578*1.67</f>
        <v>66.8</v>
      </c>
      <c r="C578" s="187">
        <v>40</v>
      </c>
      <c r="D578" s="94"/>
      <c r="E578" s="140"/>
      <c r="F578" s="140"/>
      <c r="G578" s="140"/>
      <c r="H578" s="94"/>
      <c r="I578" s="316"/>
      <c r="J578" s="317"/>
      <c r="K578" s="1"/>
    </row>
    <row r="579" spans="1:11" ht="24.75" customHeight="1">
      <c r="A579" s="141" t="s">
        <v>215</v>
      </c>
      <c r="B579" s="94">
        <v>4</v>
      </c>
      <c r="C579" s="94">
        <v>4</v>
      </c>
      <c r="D579" s="94"/>
      <c r="E579" s="140"/>
      <c r="F579" s="140"/>
      <c r="G579" s="140"/>
      <c r="H579" s="94"/>
      <c r="I579" s="316"/>
      <c r="J579" s="317"/>
      <c r="K579" s="1"/>
    </row>
    <row r="580" spans="1:11" ht="24.75" customHeight="1">
      <c r="A580" s="123" t="s">
        <v>26</v>
      </c>
      <c r="B580" s="94">
        <f>C580*1.19</f>
        <v>21.419999999999998</v>
      </c>
      <c r="C580" s="94">
        <v>18</v>
      </c>
      <c r="D580" s="94"/>
      <c r="E580" s="140"/>
      <c r="F580" s="140"/>
      <c r="G580" s="140"/>
      <c r="H580" s="94"/>
      <c r="I580" s="316"/>
      <c r="J580" s="317"/>
      <c r="K580" s="1"/>
    </row>
    <row r="581" spans="1:11" ht="24.75" customHeight="1">
      <c r="A581" s="115" t="s">
        <v>213</v>
      </c>
      <c r="B581" s="42">
        <f>C581*1.11</f>
        <v>16.650000000000002</v>
      </c>
      <c r="C581" s="94">
        <v>15</v>
      </c>
      <c r="D581" s="94"/>
      <c r="E581" s="140"/>
      <c r="F581" s="140"/>
      <c r="G581" s="140"/>
      <c r="H581" s="94"/>
      <c r="I581" s="316"/>
      <c r="J581" s="317"/>
      <c r="K581" s="14"/>
    </row>
    <row r="582" spans="1:11" ht="24.75" customHeight="1">
      <c r="A582" s="123" t="s">
        <v>27</v>
      </c>
      <c r="B582" s="112">
        <v>6</v>
      </c>
      <c r="C582" s="112">
        <v>6</v>
      </c>
      <c r="D582" s="94"/>
      <c r="E582" s="140"/>
      <c r="F582" s="140"/>
      <c r="G582" s="140"/>
      <c r="H582" s="94"/>
      <c r="I582" s="316"/>
      <c r="J582" s="317"/>
      <c r="K582" s="10"/>
    </row>
    <row r="583" spans="1:11" ht="24.75" customHeight="1">
      <c r="A583" s="123" t="s">
        <v>17</v>
      </c>
      <c r="B583" s="112">
        <v>5</v>
      </c>
      <c r="C583" s="112">
        <v>4</v>
      </c>
      <c r="D583" s="94"/>
      <c r="E583" s="140"/>
      <c r="F583" s="140"/>
      <c r="G583" s="140"/>
      <c r="H583" s="94"/>
      <c r="I583" s="316"/>
      <c r="J583" s="317"/>
      <c r="K583" s="10"/>
    </row>
    <row r="584" spans="1:11" ht="24.75" customHeight="1">
      <c r="A584" s="115" t="s">
        <v>95</v>
      </c>
      <c r="B584" s="112">
        <v>5</v>
      </c>
      <c r="C584" s="112">
        <v>5</v>
      </c>
      <c r="D584" s="94"/>
      <c r="E584" s="140"/>
      <c r="F584" s="140"/>
      <c r="G584" s="140"/>
      <c r="H584" s="94"/>
      <c r="I584" s="316"/>
      <c r="J584" s="317"/>
      <c r="K584" s="14"/>
    </row>
    <row r="585" spans="1:11" ht="24.75" customHeight="1">
      <c r="A585" s="123" t="s">
        <v>70</v>
      </c>
      <c r="B585" s="94">
        <v>2</v>
      </c>
      <c r="C585" s="112">
        <v>1</v>
      </c>
      <c r="D585" s="94"/>
      <c r="E585" s="140"/>
      <c r="F585" s="140"/>
      <c r="G585" s="140"/>
      <c r="H585" s="94"/>
      <c r="I585" s="316"/>
      <c r="J585" s="317"/>
      <c r="K585" s="14"/>
    </row>
    <row r="586" spans="1:11" ht="24.75" customHeight="1">
      <c r="A586" s="426" t="s">
        <v>542</v>
      </c>
      <c r="B586" s="427"/>
      <c r="C586" s="428"/>
      <c r="D586" s="41">
        <v>110</v>
      </c>
      <c r="E586" s="145">
        <v>7.8</v>
      </c>
      <c r="F586" s="145">
        <v>8.3</v>
      </c>
      <c r="G586" s="145">
        <v>9.8</v>
      </c>
      <c r="H586" s="152">
        <f>E586*4+F586*9+G586*4</f>
        <v>145.10000000000002</v>
      </c>
      <c r="I586" s="41">
        <v>1.1</v>
      </c>
      <c r="J586" s="41" t="s">
        <v>348</v>
      </c>
      <c r="K586" s="14"/>
    </row>
    <row r="587" spans="1:11" ht="24.75" customHeight="1">
      <c r="A587" s="234" t="s">
        <v>436</v>
      </c>
      <c r="B587" s="380">
        <v>168</v>
      </c>
      <c r="C587" s="16">
        <v>86</v>
      </c>
      <c r="D587" s="16"/>
      <c r="E587" s="50"/>
      <c r="F587" s="50"/>
      <c r="G587" s="50"/>
      <c r="H587" s="42"/>
      <c r="I587" s="383"/>
      <c r="J587" s="383"/>
      <c r="K587" s="15"/>
    </row>
    <row r="588" spans="1:11" ht="24.75" customHeight="1">
      <c r="A588" s="234" t="s">
        <v>437</v>
      </c>
      <c r="B588" s="23">
        <f>C588*1.34</f>
        <v>115.24000000000001</v>
      </c>
      <c r="C588" s="16">
        <v>86</v>
      </c>
      <c r="D588" s="16"/>
      <c r="E588" s="161"/>
      <c r="F588" s="161"/>
      <c r="G588" s="161"/>
      <c r="H588" s="142"/>
      <c r="I588" s="383"/>
      <c r="J588" s="383"/>
      <c r="K588" s="10"/>
    </row>
    <row r="589" spans="1:11" ht="24.75" customHeight="1">
      <c r="A589" s="234" t="s">
        <v>241</v>
      </c>
      <c r="B589" s="380">
        <f>C589</f>
        <v>86</v>
      </c>
      <c r="C589" s="16">
        <v>86</v>
      </c>
      <c r="D589" s="16"/>
      <c r="E589" s="50"/>
      <c r="F589" s="50"/>
      <c r="G589" s="50"/>
      <c r="H589" s="42"/>
      <c r="I589" s="385"/>
      <c r="J589" s="385"/>
      <c r="K589" s="10"/>
    </row>
    <row r="590" spans="1:11" ht="24.75" customHeight="1">
      <c r="A590" s="234" t="s">
        <v>543</v>
      </c>
      <c r="B590" s="380">
        <f>C590</f>
        <v>86</v>
      </c>
      <c r="C590" s="16">
        <v>86</v>
      </c>
      <c r="D590" s="16"/>
      <c r="E590" s="50"/>
      <c r="F590" s="50"/>
      <c r="G590" s="50"/>
      <c r="H590" s="42"/>
      <c r="I590" s="385"/>
      <c r="J590" s="385"/>
      <c r="K590" s="10"/>
    </row>
    <row r="591" spans="1:11" ht="24.75" customHeight="1">
      <c r="A591" s="115" t="s">
        <v>36</v>
      </c>
      <c r="B591" s="16">
        <v>6</v>
      </c>
      <c r="C591" s="16">
        <v>6</v>
      </c>
      <c r="D591" s="16"/>
      <c r="E591" s="50"/>
      <c r="F591" s="50"/>
      <c r="G591" s="50"/>
      <c r="H591" s="42"/>
      <c r="I591" s="385"/>
      <c r="J591" s="385"/>
      <c r="K591" s="10"/>
    </row>
    <row r="592" spans="1:11" ht="24.75" customHeight="1">
      <c r="A592" s="115" t="s">
        <v>26</v>
      </c>
      <c r="B592" s="142">
        <f>C592*1.19</f>
        <v>10.709999999999999</v>
      </c>
      <c r="C592" s="16">
        <v>9</v>
      </c>
      <c r="D592" s="16"/>
      <c r="E592" s="50"/>
      <c r="F592" s="50"/>
      <c r="G592" s="50"/>
      <c r="H592" s="42"/>
      <c r="I592" s="385"/>
      <c r="J592" s="385"/>
      <c r="K592" s="10"/>
    </row>
    <row r="593" spans="1:11" ht="24.75" customHeight="1">
      <c r="A593" s="172" t="s">
        <v>569</v>
      </c>
      <c r="B593" s="16">
        <v>25</v>
      </c>
      <c r="C593" s="16">
        <v>25</v>
      </c>
      <c r="D593" s="16"/>
      <c r="E593" s="50"/>
      <c r="F593" s="50"/>
      <c r="G593" s="50"/>
      <c r="H593" s="42"/>
      <c r="I593" s="385"/>
      <c r="J593" s="385"/>
      <c r="K593" s="10"/>
    </row>
    <row r="594" spans="1:24" ht="24.75" customHeight="1">
      <c r="A594" s="115" t="s">
        <v>29</v>
      </c>
      <c r="B594" s="16">
        <v>4</v>
      </c>
      <c r="C594" s="16">
        <v>4</v>
      </c>
      <c r="D594" s="16"/>
      <c r="E594" s="50"/>
      <c r="F594" s="50"/>
      <c r="G594" s="50"/>
      <c r="H594" s="42"/>
      <c r="I594" s="385"/>
      <c r="J594" s="385"/>
      <c r="K594" s="10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</row>
    <row r="595" spans="1:11" ht="24.75" customHeight="1">
      <c r="A595" s="115" t="s">
        <v>415</v>
      </c>
      <c r="B595" s="16">
        <v>6</v>
      </c>
      <c r="C595" s="16">
        <v>6</v>
      </c>
      <c r="D595" s="16"/>
      <c r="E595" s="50"/>
      <c r="F595" s="50"/>
      <c r="G595" s="50"/>
      <c r="H595" s="42"/>
      <c r="I595" s="385"/>
      <c r="J595" s="385"/>
      <c r="K595" s="10"/>
    </row>
    <row r="596" spans="1:11" ht="24.75" customHeight="1">
      <c r="A596" s="115" t="s">
        <v>20</v>
      </c>
      <c r="B596" s="16">
        <v>3</v>
      </c>
      <c r="C596" s="16">
        <v>3</v>
      </c>
      <c r="D596" s="16"/>
      <c r="E596" s="50"/>
      <c r="F596" s="50"/>
      <c r="G596" s="50"/>
      <c r="H596" s="42"/>
      <c r="I596" s="385"/>
      <c r="J596" s="385"/>
      <c r="K596" s="14"/>
    </row>
    <row r="597" spans="1:11" ht="24.75" customHeight="1">
      <c r="A597" s="468" t="s">
        <v>438</v>
      </c>
      <c r="B597" s="468"/>
      <c r="C597" s="468"/>
      <c r="D597" s="41">
        <v>150</v>
      </c>
      <c r="E597" s="145">
        <v>2.5</v>
      </c>
      <c r="F597" s="145">
        <v>4.7</v>
      </c>
      <c r="G597" s="145">
        <v>13</v>
      </c>
      <c r="H597" s="152">
        <f>E597*4+F597*9+G597*4</f>
        <v>104.30000000000001</v>
      </c>
      <c r="I597" s="151">
        <v>6.6</v>
      </c>
      <c r="J597" s="41" t="s">
        <v>439</v>
      </c>
      <c r="K597" s="14"/>
    </row>
    <row r="598" spans="1:11" ht="24.75" customHeight="1">
      <c r="A598" s="115" t="s">
        <v>25</v>
      </c>
      <c r="B598" s="42">
        <f>C598*1.25</f>
        <v>43.75</v>
      </c>
      <c r="C598" s="16">
        <v>35</v>
      </c>
      <c r="D598" s="16"/>
      <c r="E598" s="50"/>
      <c r="F598" s="50"/>
      <c r="G598" s="50"/>
      <c r="H598" s="42"/>
      <c r="I598" s="385"/>
      <c r="J598" s="385"/>
      <c r="K598" s="14"/>
    </row>
    <row r="599" spans="1:11" ht="24.75" customHeight="1">
      <c r="A599" s="115" t="s">
        <v>19</v>
      </c>
      <c r="B599" s="42">
        <f>C599*1.33</f>
        <v>46.550000000000004</v>
      </c>
      <c r="C599" s="16">
        <v>35</v>
      </c>
      <c r="D599" s="16"/>
      <c r="E599" s="50"/>
      <c r="F599" s="50"/>
      <c r="G599" s="50"/>
      <c r="H599" s="42"/>
      <c r="I599" s="385"/>
      <c r="J599" s="385"/>
      <c r="K599" s="14"/>
    </row>
    <row r="600" spans="1:24" ht="24.75" customHeight="1">
      <c r="A600" s="115" t="s">
        <v>21</v>
      </c>
      <c r="B600" s="42">
        <f>C600*1.33</f>
        <v>91.77000000000001</v>
      </c>
      <c r="C600" s="16">
        <v>69</v>
      </c>
      <c r="D600" s="16"/>
      <c r="E600" s="50"/>
      <c r="F600" s="50"/>
      <c r="G600" s="50"/>
      <c r="H600" s="42"/>
      <c r="I600" s="383"/>
      <c r="J600" s="389"/>
      <c r="K600" s="14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11" ht="24.75" customHeight="1">
      <c r="A601" s="115" t="s">
        <v>22</v>
      </c>
      <c r="B601" s="42">
        <f>C601*1.43</f>
        <v>98.67</v>
      </c>
      <c r="C601" s="16">
        <v>69</v>
      </c>
      <c r="D601" s="16"/>
      <c r="E601" s="50"/>
      <c r="F601" s="50"/>
      <c r="G601" s="50"/>
      <c r="H601" s="42"/>
      <c r="I601" s="383"/>
      <c r="J601" s="382"/>
      <c r="K601" s="14"/>
    </row>
    <row r="602" spans="1:11" ht="24.75" customHeight="1">
      <c r="A602" s="115" t="s">
        <v>23</v>
      </c>
      <c r="B602" s="42">
        <f>C602*1.54</f>
        <v>106.26</v>
      </c>
      <c r="C602" s="16">
        <v>69</v>
      </c>
      <c r="D602" s="16"/>
      <c r="E602" s="50"/>
      <c r="F602" s="50"/>
      <c r="G602" s="50"/>
      <c r="H602" s="42"/>
      <c r="I602" s="383"/>
      <c r="J602" s="382"/>
      <c r="K602" s="14"/>
    </row>
    <row r="603" spans="1:11" ht="24.75" customHeight="1">
      <c r="A603" s="115" t="s">
        <v>24</v>
      </c>
      <c r="B603" s="42">
        <f>C603*1.67</f>
        <v>115.22999999999999</v>
      </c>
      <c r="C603" s="16">
        <v>69</v>
      </c>
      <c r="D603" s="16"/>
      <c r="E603" s="50"/>
      <c r="F603" s="50"/>
      <c r="G603" s="50"/>
      <c r="H603" s="42"/>
      <c r="I603" s="383"/>
      <c r="J603" s="382"/>
      <c r="K603" s="14"/>
    </row>
    <row r="604" spans="1:11" ht="24.75" customHeight="1">
      <c r="A604" s="172" t="s">
        <v>435</v>
      </c>
      <c r="B604" s="42">
        <f>C604*1.54</f>
        <v>46.2</v>
      </c>
      <c r="C604" s="16">
        <v>30</v>
      </c>
      <c r="D604" s="16"/>
      <c r="E604" s="50"/>
      <c r="F604" s="50"/>
      <c r="G604" s="50"/>
      <c r="H604" s="42"/>
      <c r="I604" s="383"/>
      <c r="J604" s="382"/>
      <c r="K604" s="14"/>
    </row>
    <row r="605" spans="1:11" ht="24.75" customHeight="1">
      <c r="A605" s="172" t="s">
        <v>570</v>
      </c>
      <c r="B605" s="16">
        <v>50</v>
      </c>
      <c r="C605" s="16">
        <v>40</v>
      </c>
      <c r="D605" s="16"/>
      <c r="E605" s="50"/>
      <c r="F605" s="50"/>
      <c r="G605" s="50"/>
      <c r="H605" s="42"/>
      <c r="I605" s="385"/>
      <c r="J605" s="381"/>
      <c r="K605" s="14"/>
    </row>
    <row r="606" spans="1:11" ht="32.25" customHeight="1">
      <c r="A606" s="115" t="s">
        <v>118</v>
      </c>
      <c r="B606" s="50">
        <f>C606*1.28</f>
        <v>1.024</v>
      </c>
      <c r="C606" s="16">
        <v>0.8</v>
      </c>
      <c r="D606" s="16"/>
      <c r="E606" s="50"/>
      <c r="F606" s="50"/>
      <c r="G606" s="50"/>
      <c r="H606" s="42"/>
      <c r="I606" s="385"/>
      <c r="J606" s="381"/>
      <c r="K606" s="14"/>
    </row>
    <row r="607" spans="1:24" s="165" customFormat="1" ht="33" customHeight="1">
      <c r="A607" s="115" t="s">
        <v>26</v>
      </c>
      <c r="B607" s="50">
        <f>C607*1.19</f>
        <v>17.849999999999998</v>
      </c>
      <c r="C607" s="16">
        <v>15</v>
      </c>
      <c r="D607" s="16"/>
      <c r="E607" s="50"/>
      <c r="F607" s="50"/>
      <c r="G607" s="50"/>
      <c r="H607" s="42"/>
      <c r="I607" s="383"/>
      <c r="J607" s="389"/>
      <c r="K607" s="131"/>
      <c r="L607" s="132"/>
      <c r="M607" s="16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</row>
    <row r="608" spans="1:24" ht="54" customHeight="1">
      <c r="A608" s="115" t="s">
        <v>20</v>
      </c>
      <c r="B608" s="16">
        <v>6</v>
      </c>
      <c r="C608" s="16">
        <v>6</v>
      </c>
      <c r="D608" s="16"/>
      <c r="E608" s="50"/>
      <c r="F608" s="50"/>
      <c r="G608" s="50"/>
      <c r="H608" s="42"/>
      <c r="I608" s="385"/>
      <c r="J608" s="381"/>
      <c r="K608" s="14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11" ht="33" customHeight="1">
      <c r="A609" s="482" t="s">
        <v>504</v>
      </c>
      <c r="B609" s="482"/>
      <c r="C609" s="482"/>
      <c r="D609" s="143">
        <v>200</v>
      </c>
      <c r="E609" s="143">
        <v>0.1</v>
      </c>
      <c r="F609" s="144">
        <v>0</v>
      </c>
      <c r="G609" s="144">
        <v>22</v>
      </c>
      <c r="H609" s="152">
        <f>E609*4+F609*9+G609*4</f>
        <v>88.4</v>
      </c>
      <c r="I609" s="317">
        <v>19</v>
      </c>
      <c r="J609" s="317" t="s">
        <v>503</v>
      </c>
      <c r="K609" s="14"/>
    </row>
    <row r="610" spans="1:11" ht="42" customHeight="1">
      <c r="A610" s="461" t="s">
        <v>258</v>
      </c>
      <c r="B610" s="461"/>
      <c r="C610" s="461"/>
      <c r="D610" s="151">
        <v>50</v>
      </c>
      <c r="E610" s="145">
        <v>4.1</v>
      </c>
      <c r="F610" s="145">
        <v>0.7000000000000001</v>
      </c>
      <c r="G610" s="145">
        <v>19</v>
      </c>
      <c r="H610" s="152">
        <v>98</v>
      </c>
      <c r="I610" s="306">
        <v>0</v>
      </c>
      <c r="J610" s="306"/>
      <c r="K610" s="14"/>
    </row>
    <row r="611" spans="1:11" ht="31.5" customHeight="1">
      <c r="A611" s="461" t="s">
        <v>72</v>
      </c>
      <c r="B611" s="461"/>
      <c r="C611" s="461"/>
      <c r="D611" s="151">
        <v>50</v>
      </c>
      <c r="E611" s="145">
        <v>3.3</v>
      </c>
      <c r="F611" s="145">
        <v>0.6</v>
      </c>
      <c r="G611" s="145">
        <v>16.7</v>
      </c>
      <c r="H611" s="152">
        <v>85.39999999999999</v>
      </c>
      <c r="I611" s="306">
        <v>0</v>
      </c>
      <c r="J611" s="306"/>
      <c r="K611" s="14"/>
    </row>
    <row r="612" spans="1:11" ht="24.75" customHeight="1">
      <c r="A612" s="466" t="s">
        <v>61</v>
      </c>
      <c r="B612" s="466"/>
      <c r="C612" s="466"/>
      <c r="D612" s="466"/>
      <c r="E612" s="128">
        <f>SUM(E613:E628)</f>
        <v>2.7</v>
      </c>
      <c r="F612" s="128">
        <f>SUM(F613:F628)</f>
        <v>5.4</v>
      </c>
      <c r="G612" s="128">
        <f>SUM(G613:G628)</f>
        <v>38.7</v>
      </c>
      <c r="H612" s="116">
        <f>SUM(H613:H628)</f>
        <v>213.8</v>
      </c>
      <c r="I612" s="128">
        <f>SUM(I613:I628)</f>
        <v>0.08</v>
      </c>
      <c r="J612" s="159"/>
      <c r="K612" s="62"/>
    </row>
    <row r="613" spans="1:35" s="3" customFormat="1" ht="24.75" customHeight="1">
      <c r="A613" s="487" t="s">
        <v>133</v>
      </c>
      <c r="B613" s="488"/>
      <c r="C613" s="489"/>
      <c r="D613" s="41">
        <v>90</v>
      </c>
      <c r="E613" s="44">
        <v>2.5</v>
      </c>
      <c r="F613" s="44">
        <v>5.4</v>
      </c>
      <c r="G613" s="44">
        <v>27.8</v>
      </c>
      <c r="H613" s="45">
        <f>E613*4+F613*9+G613*4</f>
        <v>169.8</v>
      </c>
      <c r="I613" s="307">
        <v>0.08</v>
      </c>
      <c r="J613" s="306" t="s">
        <v>519</v>
      </c>
      <c r="K613" s="69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1:24" ht="24.75" customHeight="1">
      <c r="A614" s="115" t="s">
        <v>28</v>
      </c>
      <c r="B614" s="42">
        <v>45</v>
      </c>
      <c r="C614" s="42">
        <v>45</v>
      </c>
      <c r="D614" s="147"/>
      <c r="E614" s="147"/>
      <c r="F614" s="275"/>
      <c r="G614" s="275"/>
      <c r="H614" s="147"/>
      <c r="I614" s="320"/>
      <c r="J614" s="360"/>
      <c r="K614" s="62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11" ht="24.75" customHeight="1">
      <c r="A615" s="139" t="s">
        <v>12</v>
      </c>
      <c r="B615" s="161">
        <v>2.1</v>
      </c>
      <c r="C615" s="161">
        <v>2.1</v>
      </c>
      <c r="D615" s="352"/>
      <c r="E615" s="352"/>
      <c r="F615" s="352"/>
      <c r="G615" s="352"/>
      <c r="H615" s="142"/>
      <c r="I615" s="306"/>
      <c r="J615" s="306"/>
      <c r="K615" s="10"/>
    </row>
    <row r="616" spans="1:11" s="34" customFormat="1" ht="24.75" customHeight="1">
      <c r="A616" s="115" t="s">
        <v>110</v>
      </c>
      <c r="B616" s="42">
        <v>18</v>
      </c>
      <c r="C616" s="42">
        <v>18</v>
      </c>
      <c r="D616" s="147"/>
      <c r="E616" s="147"/>
      <c r="F616" s="147"/>
      <c r="G616" s="147"/>
      <c r="H616" s="147"/>
      <c r="I616" s="320"/>
      <c r="J616" s="360"/>
      <c r="K616" s="131"/>
    </row>
    <row r="617" spans="1:24" s="34" customFormat="1" ht="24.75" customHeight="1">
      <c r="A617" s="115" t="s">
        <v>20</v>
      </c>
      <c r="B617" s="50">
        <v>2.1</v>
      </c>
      <c r="C617" s="50">
        <v>2.1</v>
      </c>
      <c r="D617" s="147"/>
      <c r="E617" s="147"/>
      <c r="F617" s="50"/>
      <c r="G617" s="50"/>
      <c r="H617" s="42"/>
      <c r="I617" s="307"/>
      <c r="J617" s="306"/>
      <c r="K617" s="14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ht="24.75" customHeight="1">
      <c r="A618" s="190" t="s">
        <v>150</v>
      </c>
      <c r="B618" s="50">
        <v>0.5</v>
      </c>
      <c r="C618" s="50">
        <v>0.5</v>
      </c>
      <c r="D618" s="147"/>
      <c r="E618" s="147"/>
      <c r="F618" s="50"/>
      <c r="G618" s="50"/>
      <c r="H618" s="42"/>
      <c r="I618" s="307"/>
      <c r="J618" s="306"/>
      <c r="K618" s="14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11" ht="24.75" customHeight="1">
      <c r="A619" s="115" t="s">
        <v>27</v>
      </c>
      <c r="B619" s="50">
        <v>2.6</v>
      </c>
      <c r="C619" s="50">
        <v>2.6</v>
      </c>
      <c r="D619" s="147"/>
      <c r="E619" s="147"/>
      <c r="F619" s="50"/>
      <c r="G619" s="50"/>
      <c r="H619" s="42"/>
      <c r="I619" s="307"/>
      <c r="J619" s="306"/>
      <c r="K619" s="14"/>
    </row>
    <row r="620" spans="1:11" ht="24.75" customHeight="1">
      <c r="A620" s="202" t="s">
        <v>102</v>
      </c>
      <c r="B620" s="50">
        <v>0.7</v>
      </c>
      <c r="C620" s="50">
        <v>0.7</v>
      </c>
      <c r="D620" s="147"/>
      <c r="E620" s="147"/>
      <c r="F620" s="50"/>
      <c r="G620" s="50"/>
      <c r="H620" s="42"/>
      <c r="I620" s="307"/>
      <c r="J620" s="306"/>
      <c r="K620" s="14"/>
    </row>
    <row r="621" spans="1:35" ht="24.75" customHeight="1">
      <c r="A621" s="202" t="s">
        <v>230</v>
      </c>
      <c r="B621" s="50">
        <v>0.2</v>
      </c>
      <c r="C621" s="50">
        <v>0.2</v>
      </c>
      <c r="D621" s="147"/>
      <c r="E621" s="147"/>
      <c r="F621" s="50"/>
      <c r="G621" s="50"/>
      <c r="H621" s="42"/>
      <c r="I621" s="307"/>
      <c r="J621" s="306"/>
      <c r="K621" s="10"/>
      <c r="L621" s="25"/>
      <c r="M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</row>
    <row r="622" spans="1:24" ht="24.75" customHeight="1">
      <c r="A622" s="203" t="s">
        <v>153</v>
      </c>
      <c r="B622" s="247">
        <f>C622*1.5</f>
        <v>48.857142857142854</v>
      </c>
      <c r="C622" s="42">
        <v>32.57142857142857</v>
      </c>
      <c r="D622" s="147"/>
      <c r="E622" s="147"/>
      <c r="F622" s="50"/>
      <c r="G622" s="50"/>
      <c r="H622" s="42"/>
      <c r="I622" s="307"/>
      <c r="J622" s="306"/>
      <c r="K622" s="10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</row>
    <row r="623" spans="1:24" ht="24.75" customHeight="1">
      <c r="A623" s="203" t="s">
        <v>165</v>
      </c>
      <c r="B623" s="247">
        <f>C623*1.82</f>
        <v>59.28</v>
      </c>
      <c r="C623" s="42">
        <v>32.57142857142857</v>
      </c>
      <c r="D623" s="147"/>
      <c r="E623" s="147"/>
      <c r="F623" s="50"/>
      <c r="G623" s="50"/>
      <c r="H623" s="42"/>
      <c r="I623" s="307"/>
      <c r="J623" s="306"/>
      <c r="K623" s="10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</row>
    <row r="624" spans="1:24" ht="24.75" customHeight="1">
      <c r="A624" s="115" t="s">
        <v>26</v>
      </c>
      <c r="B624" s="94">
        <f>C624*1.19</f>
        <v>7.14</v>
      </c>
      <c r="C624" s="42">
        <v>6</v>
      </c>
      <c r="D624" s="147"/>
      <c r="E624" s="147"/>
      <c r="F624" s="50"/>
      <c r="G624" s="50"/>
      <c r="H624" s="42"/>
      <c r="I624" s="307"/>
      <c r="J624" s="306"/>
      <c r="K624" s="136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</row>
    <row r="625" spans="1:24" ht="24.75" customHeight="1">
      <c r="A625" s="115" t="s">
        <v>119</v>
      </c>
      <c r="B625" s="140">
        <v>0.5</v>
      </c>
      <c r="C625" s="140">
        <v>0.5</v>
      </c>
      <c r="D625" s="147"/>
      <c r="E625" s="147"/>
      <c r="F625" s="147"/>
      <c r="G625" s="147"/>
      <c r="H625" s="147"/>
      <c r="I625" s="320"/>
      <c r="J625" s="360"/>
      <c r="K625" s="10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</row>
    <row r="626" spans="1:24" ht="24.75" customHeight="1">
      <c r="A626" s="487" t="s">
        <v>593</v>
      </c>
      <c r="B626" s="488"/>
      <c r="C626" s="489"/>
      <c r="D626" s="41">
        <v>200</v>
      </c>
      <c r="E626" s="145">
        <v>0.2</v>
      </c>
      <c r="F626" s="145">
        <v>0</v>
      </c>
      <c r="G626" s="145">
        <v>10.9</v>
      </c>
      <c r="H626" s="152">
        <v>44</v>
      </c>
      <c r="I626" s="306">
        <v>0</v>
      </c>
      <c r="J626" s="362" t="s">
        <v>392</v>
      </c>
      <c r="K626" s="10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</row>
    <row r="627" spans="1:35" ht="24.75" customHeight="1">
      <c r="A627" s="115" t="s">
        <v>16</v>
      </c>
      <c r="B627" s="16">
        <v>0.4</v>
      </c>
      <c r="C627" s="16">
        <v>0.4</v>
      </c>
      <c r="D627" s="16"/>
      <c r="E627" s="44"/>
      <c r="F627" s="44"/>
      <c r="G627" s="44"/>
      <c r="H627" s="45"/>
      <c r="I627" s="307"/>
      <c r="J627" s="306"/>
      <c r="K627" s="10"/>
      <c r="N627" s="204"/>
      <c r="O627" s="204"/>
      <c r="P627" s="204"/>
      <c r="Q627" s="204"/>
      <c r="R627" s="204"/>
      <c r="S627" s="204"/>
      <c r="T627" s="204"/>
      <c r="U627" s="204"/>
      <c r="V627" s="204"/>
      <c r="W627" s="204"/>
      <c r="X627" s="204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</row>
    <row r="628" spans="1:24" ht="24.75" customHeight="1">
      <c r="A628" s="139" t="s">
        <v>12</v>
      </c>
      <c r="B628" s="153">
        <v>12</v>
      </c>
      <c r="C628" s="153">
        <v>12</v>
      </c>
      <c r="D628" s="153"/>
      <c r="E628" s="161"/>
      <c r="F628" s="161"/>
      <c r="G628" s="161"/>
      <c r="H628" s="142"/>
      <c r="I628" s="306"/>
      <c r="J628" s="306"/>
      <c r="K628" s="10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</row>
    <row r="629" spans="1:35" ht="24.75" customHeight="1">
      <c r="A629" s="466" t="s">
        <v>30</v>
      </c>
      <c r="B629" s="466"/>
      <c r="C629" s="466"/>
      <c r="D629" s="466"/>
      <c r="E629" s="128">
        <f>E630+E635+E647+E650+E654+E655+E657</f>
        <v>18.95</v>
      </c>
      <c r="F629" s="128">
        <f>F630+F635+F647+F650+F654+F655+F657</f>
        <v>17.990000000000002</v>
      </c>
      <c r="G629" s="128">
        <f>G630+G635+G647+G650+G654+G655+G657</f>
        <v>78.04</v>
      </c>
      <c r="H629" s="116">
        <f>H630+H635+H647+H650+H654+H655+H657</f>
        <v>549.8700000000001</v>
      </c>
      <c r="I629" s="128">
        <f>I630+I635+I647+I650+I654+I655+I657</f>
        <v>19.337500000000002</v>
      </c>
      <c r="J629" s="159"/>
      <c r="K629" s="10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</row>
    <row r="630" spans="1:35" ht="24.75" customHeight="1">
      <c r="A630" s="487" t="s">
        <v>245</v>
      </c>
      <c r="B630" s="488"/>
      <c r="C630" s="489"/>
      <c r="D630" s="41">
        <v>70</v>
      </c>
      <c r="E630" s="44">
        <v>0.5</v>
      </c>
      <c r="F630" s="44">
        <v>0</v>
      </c>
      <c r="G630" s="44">
        <v>1.4</v>
      </c>
      <c r="H630" s="45">
        <f>E630*4+F630*9+G630*4</f>
        <v>7.6</v>
      </c>
      <c r="I630" s="307">
        <v>17.4475</v>
      </c>
      <c r="J630" s="306" t="s">
        <v>348</v>
      </c>
      <c r="K630" s="10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</row>
    <row r="631" spans="1:11" ht="24.75" customHeight="1">
      <c r="A631" s="184" t="s">
        <v>122</v>
      </c>
      <c r="B631" s="187">
        <f>C631*1.02</f>
        <v>65.28</v>
      </c>
      <c r="C631" s="183">
        <v>64</v>
      </c>
      <c r="D631" s="142"/>
      <c r="E631" s="161"/>
      <c r="F631" s="161"/>
      <c r="G631" s="161"/>
      <c r="H631" s="142"/>
      <c r="I631" s="306"/>
      <c r="J631" s="306"/>
      <c r="K631" s="14"/>
    </row>
    <row r="632" spans="1:11" ht="24.75" customHeight="1">
      <c r="A632" s="184" t="s">
        <v>227</v>
      </c>
      <c r="B632" s="187">
        <f>C632*1.18</f>
        <v>75.52</v>
      </c>
      <c r="C632" s="183">
        <v>64</v>
      </c>
      <c r="D632" s="142"/>
      <c r="E632" s="161"/>
      <c r="F632" s="161"/>
      <c r="G632" s="161"/>
      <c r="H632" s="142"/>
      <c r="I632" s="306"/>
      <c r="J632" s="306"/>
      <c r="K632" s="14"/>
    </row>
    <row r="633" spans="1:11" ht="24.75" customHeight="1">
      <c r="A633" s="202" t="s">
        <v>225</v>
      </c>
      <c r="B633" s="140">
        <f>C633*1.25</f>
        <v>7.5</v>
      </c>
      <c r="C633" s="112">
        <v>6</v>
      </c>
      <c r="D633" s="42"/>
      <c r="E633" s="50"/>
      <c r="F633" s="50"/>
      <c r="G633" s="50"/>
      <c r="H633" s="42"/>
      <c r="I633" s="307"/>
      <c r="J633" s="306"/>
      <c r="K633" s="14"/>
    </row>
    <row r="634" spans="1:24" s="204" customFormat="1" ht="24.75" customHeight="1">
      <c r="A634" s="123" t="s">
        <v>115</v>
      </c>
      <c r="B634" s="94">
        <f>C634*1.19</f>
        <v>7.14</v>
      </c>
      <c r="C634" s="112">
        <v>6</v>
      </c>
      <c r="D634" s="16"/>
      <c r="E634" s="50"/>
      <c r="F634" s="50"/>
      <c r="G634" s="50"/>
      <c r="H634" s="42"/>
      <c r="I634" s="307"/>
      <c r="J634" s="306"/>
      <c r="K634" s="1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</row>
    <row r="635" spans="1:60" s="204" customFormat="1" ht="24.75" customHeight="1">
      <c r="A635" s="496" t="s">
        <v>287</v>
      </c>
      <c r="B635" s="497"/>
      <c r="C635" s="498"/>
      <c r="D635" s="151" t="s">
        <v>212</v>
      </c>
      <c r="E635" s="145">
        <v>7.2</v>
      </c>
      <c r="F635" s="145">
        <v>7.9</v>
      </c>
      <c r="G635" s="145">
        <v>8</v>
      </c>
      <c r="H635" s="152">
        <f>E635*4+F635*9+G635*4</f>
        <v>131.9</v>
      </c>
      <c r="I635" s="306">
        <v>0.09</v>
      </c>
      <c r="J635" s="306" t="s">
        <v>440</v>
      </c>
      <c r="K635" s="1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205"/>
      <c r="Z635" s="205"/>
      <c r="AA635" s="205"/>
      <c r="AB635" s="205"/>
      <c r="AC635" s="205"/>
      <c r="AD635" s="205"/>
      <c r="AE635" s="205"/>
      <c r="AF635" s="205"/>
      <c r="AG635" s="205"/>
      <c r="AH635" s="205"/>
      <c r="AI635" s="205"/>
      <c r="AJ635" s="205"/>
      <c r="AK635" s="205"/>
      <c r="AL635" s="205"/>
      <c r="AM635" s="205"/>
      <c r="AN635" s="205"/>
      <c r="AO635" s="205"/>
      <c r="AP635" s="205"/>
      <c r="AQ635" s="205"/>
      <c r="AR635" s="205"/>
      <c r="AS635" s="205"/>
      <c r="AT635" s="205"/>
      <c r="AU635" s="205"/>
      <c r="AV635" s="205"/>
      <c r="AW635" s="205"/>
      <c r="AX635" s="205"/>
      <c r="AY635" s="205"/>
      <c r="AZ635" s="205"/>
      <c r="BA635" s="205"/>
      <c r="BB635" s="205"/>
      <c r="BC635" s="205"/>
      <c r="BD635" s="205"/>
      <c r="BE635" s="205"/>
      <c r="BF635" s="205"/>
      <c r="BG635" s="205"/>
      <c r="BH635" s="205"/>
    </row>
    <row r="636" spans="1:24" s="27" customFormat="1" ht="24.75" customHeight="1">
      <c r="A636" s="117" t="s">
        <v>69</v>
      </c>
      <c r="B636" s="196">
        <f>C636*1.18</f>
        <v>118</v>
      </c>
      <c r="C636" s="94">
        <v>100</v>
      </c>
      <c r="D636" s="42"/>
      <c r="E636" s="42"/>
      <c r="F636" s="50"/>
      <c r="G636" s="50"/>
      <c r="H636" s="42"/>
      <c r="I636" s="307"/>
      <c r="J636" s="306"/>
      <c r="K636" s="14"/>
      <c r="N636" s="34"/>
      <c r="O636" s="25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04" customFormat="1" ht="24.75" customHeight="1">
      <c r="A637" s="195" t="s">
        <v>73</v>
      </c>
      <c r="B637" s="196">
        <f>C637*1.36</f>
        <v>136</v>
      </c>
      <c r="C637" s="94">
        <v>100</v>
      </c>
      <c r="D637" s="42"/>
      <c r="E637" s="42"/>
      <c r="F637" s="50"/>
      <c r="G637" s="42"/>
      <c r="H637" s="42"/>
      <c r="I637" s="307"/>
      <c r="J637" s="306"/>
      <c r="K637" s="13"/>
      <c r="N637" s="34"/>
      <c r="O637" s="25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04" customFormat="1" ht="24.75" customHeight="1">
      <c r="A638" s="184" t="s">
        <v>283</v>
      </c>
      <c r="B638" s="187"/>
      <c r="C638" s="94">
        <v>63</v>
      </c>
      <c r="D638" s="42"/>
      <c r="E638" s="42"/>
      <c r="F638" s="50"/>
      <c r="G638" s="42"/>
      <c r="H638" s="42"/>
      <c r="I638" s="307"/>
      <c r="J638" s="306"/>
      <c r="K638" s="14"/>
      <c r="N638" s="34"/>
      <c r="O638" s="25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04" customFormat="1" ht="24.75" customHeight="1">
      <c r="A639" s="184" t="s">
        <v>29</v>
      </c>
      <c r="B639" s="187">
        <v>16</v>
      </c>
      <c r="C639" s="94">
        <v>16</v>
      </c>
      <c r="D639" s="42"/>
      <c r="E639" s="42"/>
      <c r="F639" s="50"/>
      <c r="G639" s="42"/>
      <c r="H639" s="42"/>
      <c r="I639" s="307"/>
      <c r="J639" s="306"/>
      <c r="K639" s="13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</row>
    <row r="640" spans="1:24" s="204" customFormat="1" ht="24.75" customHeight="1">
      <c r="A640" s="342" t="s">
        <v>285</v>
      </c>
      <c r="B640" s="187"/>
      <c r="C640" s="94">
        <v>23</v>
      </c>
      <c r="D640" s="42"/>
      <c r="E640" s="42"/>
      <c r="F640" s="50"/>
      <c r="G640" s="42"/>
      <c r="H640" s="42"/>
      <c r="I640" s="307"/>
      <c r="J640" s="306"/>
      <c r="K640" s="13"/>
      <c r="N640" s="34"/>
      <c r="O640" s="25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7" customFormat="1" ht="24.75" customHeight="1">
      <c r="A641" s="184" t="s">
        <v>149</v>
      </c>
      <c r="B641" s="187">
        <v>18</v>
      </c>
      <c r="C641" s="94">
        <v>18</v>
      </c>
      <c r="D641" s="42"/>
      <c r="E641" s="42"/>
      <c r="F641" s="50"/>
      <c r="G641" s="42"/>
      <c r="H641" s="42"/>
      <c r="I641" s="307"/>
      <c r="J641" s="306"/>
      <c r="K641" s="62"/>
      <c r="N641" s="34"/>
      <c r="O641" s="25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11" ht="24.75" customHeight="1">
      <c r="A642" s="123" t="s">
        <v>27</v>
      </c>
      <c r="B642" s="112">
        <v>3.6</v>
      </c>
      <c r="C642" s="112">
        <v>3.6</v>
      </c>
      <c r="D642" s="42"/>
      <c r="E642" s="42"/>
      <c r="F642" s="50"/>
      <c r="G642" s="42"/>
      <c r="H642" s="42"/>
      <c r="I642" s="307"/>
      <c r="J642" s="306"/>
      <c r="K642" s="14"/>
    </row>
    <row r="643" spans="1:11" ht="24.75" customHeight="1">
      <c r="A643" s="123" t="s">
        <v>28</v>
      </c>
      <c r="B643" s="112">
        <v>3.6</v>
      </c>
      <c r="C643" s="112">
        <v>3.6</v>
      </c>
      <c r="D643" s="42"/>
      <c r="E643" s="42"/>
      <c r="F643" s="50"/>
      <c r="G643" s="42"/>
      <c r="H643" s="42"/>
      <c r="I643" s="307"/>
      <c r="J643" s="306"/>
      <c r="K643" s="14"/>
    </row>
    <row r="644" spans="1:11" ht="24.75" customHeight="1">
      <c r="A644" s="123" t="s">
        <v>284</v>
      </c>
      <c r="B644" s="112">
        <v>3.6</v>
      </c>
      <c r="C644" s="112">
        <v>3.6</v>
      </c>
      <c r="D644" s="42"/>
      <c r="E644" s="42"/>
      <c r="F644" s="50"/>
      <c r="G644" s="42"/>
      <c r="H644" s="42"/>
      <c r="I644" s="307"/>
      <c r="J644" s="306"/>
      <c r="K644" s="14"/>
    </row>
    <row r="645" spans="1:11" ht="24.75" customHeight="1">
      <c r="A645" s="123" t="s">
        <v>286</v>
      </c>
      <c r="B645" s="112">
        <v>1.7</v>
      </c>
      <c r="C645" s="112">
        <v>1.7</v>
      </c>
      <c r="D645" s="50"/>
      <c r="E645" s="42"/>
      <c r="F645" s="50"/>
      <c r="G645" s="42"/>
      <c r="H645" s="42"/>
      <c r="I645" s="307"/>
      <c r="J645" s="306"/>
      <c r="K645" s="14"/>
    </row>
    <row r="646" spans="1:11" ht="24.75" customHeight="1">
      <c r="A646" s="123" t="s">
        <v>27</v>
      </c>
      <c r="B646" s="112">
        <v>5</v>
      </c>
      <c r="C646" s="112">
        <v>5</v>
      </c>
      <c r="D646" s="42"/>
      <c r="E646" s="42"/>
      <c r="F646" s="42"/>
      <c r="G646" s="42"/>
      <c r="H646" s="42"/>
      <c r="I646" s="307"/>
      <c r="J646" s="306"/>
      <c r="K646" s="14"/>
    </row>
    <row r="647" spans="1:11" ht="24.75" customHeight="1">
      <c r="A647" s="468" t="s">
        <v>160</v>
      </c>
      <c r="B647" s="468"/>
      <c r="C647" s="468"/>
      <c r="D647" s="41">
        <v>150</v>
      </c>
      <c r="E647" s="145">
        <v>2.7</v>
      </c>
      <c r="F647" s="145">
        <v>3.2</v>
      </c>
      <c r="G647" s="145">
        <v>30.5</v>
      </c>
      <c r="H647" s="45">
        <f>E647*4+F647*9+G647*4</f>
        <v>161.6</v>
      </c>
      <c r="I647" s="307">
        <v>0</v>
      </c>
      <c r="J647" s="306" t="s">
        <v>375</v>
      </c>
      <c r="K647" s="14"/>
    </row>
    <row r="648" spans="1:11" ht="24.75" customHeight="1">
      <c r="A648" s="123" t="s">
        <v>107</v>
      </c>
      <c r="B648" s="94">
        <v>53</v>
      </c>
      <c r="C648" s="94">
        <v>53</v>
      </c>
      <c r="D648" s="112"/>
      <c r="E648" s="112"/>
      <c r="F648" s="112"/>
      <c r="G648" s="112"/>
      <c r="H648" s="94"/>
      <c r="I648" s="316"/>
      <c r="J648" s="317"/>
      <c r="K648" s="14"/>
    </row>
    <row r="649" spans="1:35" ht="24.75" customHeight="1">
      <c r="A649" s="123" t="s">
        <v>27</v>
      </c>
      <c r="B649" s="94">
        <v>5</v>
      </c>
      <c r="C649" s="94">
        <v>5</v>
      </c>
      <c r="D649" s="112"/>
      <c r="E649" s="140"/>
      <c r="F649" s="140"/>
      <c r="G649" s="140"/>
      <c r="H649" s="94"/>
      <c r="I649" s="316"/>
      <c r="J649" s="317"/>
      <c r="K649" s="14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</row>
    <row r="650" spans="1:35" ht="24.75" customHeight="1">
      <c r="A650" s="468" t="s">
        <v>571</v>
      </c>
      <c r="B650" s="468"/>
      <c r="C650" s="468"/>
      <c r="D650" s="41">
        <v>200</v>
      </c>
      <c r="E650" s="145">
        <v>3.1</v>
      </c>
      <c r="F650" s="145">
        <v>2.9</v>
      </c>
      <c r="G650" s="145">
        <v>21.4</v>
      </c>
      <c r="H650" s="152">
        <f>E650*4+F650*9+G650*4</f>
        <v>124.1</v>
      </c>
      <c r="I650" s="306">
        <v>0.78</v>
      </c>
      <c r="J650" s="306" t="s">
        <v>365</v>
      </c>
      <c r="K650" s="14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</row>
    <row r="651" spans="1:35" ht="24.75" customHeight="1">
      <c r="A651" s="115" t="s">
        <v>104</v>
      </c>
      <c r="B651" s="16">
        <v>2.5</v>
      </c>
      <c r="C651" s="16">
        <v>2.5</v>
      </c>
      <c r="D651" s="16"/>
      <c r="E651" s="50"/>
      <c r="F651" s="50"/>
      <c r="G651" s="50"/>
      <c r="H651" s="42"/>
      <c r="I651" s="307"/>
      <c r="J651" s="306"/>
      <c r="K651" s="14"/>
      <c r="N651" s="468" t="s">
        <v>571</v>
      </c>
      <c r="O651" s="468"/>
      <c r="P651" s="468"/>
      <c r="Q651" s="41">
        <v>200</v>
      </c>
      <c r="R651" s="145">
        <v>3.1</v>
      </c>
      <c r="S651" s="145">
        <v>2.9</v>
      </c>
      <c r="T651" s="145">
        <v>21.4</v>
      </c>
      <c r="U651" s="152">
        <f>R651*4+S651*9+T651*4</f>
        <v>124.1</v>
      </c>
      <c r="V651" s="306">
        <v>0.78</v>
      </c>
      <c r="W651" s="306" t="s">
        <v>365</v>
      </c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</row>
    <row r="652" spans="1:24" s="165" customFormat="1" ht="24.75" customHeight="1">
      <c r="A652" s="182" t="s">
        <v>149</v>
      </c>
      <c r="B652" s="16">
        <v>130</v>
      </c>
      <c r="C652" s="16">
        <v>130</v>
      </c>
      <c r="D652" s="16"/>
      <c r="E652" s="50"/>
      <c r="F652" s="50"/>
      <c r="G652" s="50"/>
      <c r="H652" s="42"/>
      <c r="I652" s="307"/>
      <c r="J652" s="306"/>
      <c r="K652" s="246"/>
      <c r="N652" s="115" t="s">
        <v>104</v>
      </c>
      <c r="O652" s="16">
        <v>2.5</v>
      </c>
      <c r="P652" s="16">
        <v>2.5</v>
      </c>
      <c r="Q652" s="16"/>
      <c r="R652" s="50"/>
      <c r="S652" s="50"/>
      <c r="T652" s="50"/>
      <c r="U652" s="42"/>
      <c r="V652" s="307"/>
      <c r="W652" s="306"/>
      <c r="X652" s="34"/>
    </row>
    <row r="653" spans="1:35" ht="24.75" customHeight="1">
      <c r="A653" s="184" t="s">
        <v>12</v>
      </c>
      <c r="B653" s="153">
        <v>15</v>
      </c>
      <c r="C653" s="153">
        <v>15</v>
      </c>
      <c r="D653" s="153"/>
      <c r="E653" s="161"/>
      <c r="F653" s="161"/>
      <c r="G653" s="161"/>
      <c r="H653" s="142"/>
      <c r="I653" s="306"/>
      <c r="J653" s="306"/>
      <c r="N653" s="182" t="s">
        <v>149</v>
      </c>
      <c r="O653" s="16">
        <v>130</v>
      </c>
      <c r="P653" s="16">
        <v>130</v>
      </c>
      <c r="Q653" s="16"/>
      <c r="R653" s="50"/>
      <c r="S653" s="50"/>
      <c r="T653" s="50"/>
      <c r="U653" s="42"/>
      <c r="V653" s="307"/>
      <c r="W653" s="306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</row>
    <row r="654" spans="1:35" ht="24.75" customHeight="1">
      <c r="A654" s="461" t="s">
        <v>258</v>
      </c>
      <c r="B654" s="461"/>
      <c r="C654" s="461"/>
      <c r="D654" s="151">
        <v>15</v>
      </c>
      <c r="E654" s="145">
        <v>1.23</v>
      </c>
      <c r="F654" s="145">
        <v>0.21000000000000002</v>
      </c>
      <c r="G654" s="145">
        <v>5.7</v>
      </c>
      <c r="H654" s="152">
        <v>29.610000000000003</v>
      </c>
      <c r="I654" s="306">
        <v>0</v>
      </c>
      <c r="J654" s="306"/>
      <c r="N654" s="184" t="s">
        <v>12</v>
      </c>
      <c r="O654" s="153">
        <v>15</v>
      </c>
      <c r="P654" s="153">
        <v>15</v>
      </c>
      <c r="Q654" s="153"/>
      <c r="R654" s="161"/>
      <c r="S654" s="161"/>
      <c r="T654" s="161"/>
      <c r="U654" s="142"/>
      <c r="V654" s="306"/>
      <c r="W654" s="306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</row>
    <row r="655" spans="1:10" ht="24.75" customHeight="1">
      <c r="A655" s="461" t="s">
        <v>72</v>
      </c>
      <c r="B655" s="461"/>
      <c r="C655" s="461"/>
      <c r="D655" s="151">
        <v>15</v>
      </c>
      <c r="E655" s="145">
        <v>1.02</v>
      </c>
      <c r="F655" s="145">
        <v>0.18</v>
      </c>
      <c r="G655" s="145">
        <v>5.04</v>
      </c>
      <c r="H655" s="152">
        <v>25.859999999999996</v>
      </c>
      <c r="I655" s="306">
        <v>0</v>
      </c>
      <c r="J655" s="306"/>
    </row>
    <row r="656" spans="1:10" ht="24.75" customHeight="1">
      <c r="A656" s="466" t="s">
        <v>232</v>
      </c>
      <c r="B656" s="466"/>
      <c r="C656" s="466"/>
      <c r="D656" s="466"/>
      <c r="E656" s="466"/>
      <c r="F656" s="466"/>
      <c r="G656" s="466"/>
      <c r="H656" s="466"/>
      <c r="I656" s="466"/>
      <c r="J656" s="466"/>
    </row>
    <row r="657" spans="1:13" ht="24.75" customHeight="1" thickBot="1">
      <c r="A657" s="274" t="s">
        <v>257</v>
      </c>
      <c r="B657" s="16">
        <v>154</v>
      </c>
      <c r="C657" s="112">
        <v>150</v>
      </c>
      <c r="D657" s="41">
        <v>150</v>
      </c>
      <c r="E657" s="44">
        <v>3.2</v>
      </c>
      <c r="F657" s="44">
        <v>3.6</v>
      </c>
      <c r="G657" s="44">
        <v>6</v>
      </c>
      <c r="H657" s="45">
        <f>E657*4+F657*9+G657*4</f>
        <v>69.2</v>
      </c>
      <c r="I657" s="307">
        <v>1.02</v>
      </c>
      <c r="J657" s="306" t="s">
        <v>372</v>
      </c>
      <c r="L657" s="181" t="s">
        <v>44</v>
      </c>
      <c r="M657" s="102"/>
    </row>
    <row r="658" spans="1:13" ht="24.75" customHeight="1">
      <c r="A658" s="478" t="s">
        <v>141</v>
      </c>
      <c r="B658" s="478"/>
      <c r="C658" s="478"/>
      <c r="D658" s="478"/>
      <c r="E658" s="216">
        <f>E656+E629+E612+E564+E534+E562</f>
        <v>62.38</v>
      </c>
      <c r="F658" s="216">
        <f>F656+F629+F612+F564+F534+F562</f>
        <v>72.1</v>
      </c>
      <c r="G658" s="216">
        <f>G656+G629+G612+G564+G534+G562</f>
        <v>299.225</v>
      </c>
      <c r="H658" s="217">
        <f>H656+H629+H612+H564+H534+H562</f>
        <v>2094.2200000000003</v>
      </c>
      <c r="I658" s="318">
        <f>I656+I629+I612+I564+I534+I562</f>
        <v>134.2125</v>
      </c>
      <c r="J658" s="324"/>
      <c r="L658" s="59" t="s">
        <v>72</v>
      </c>
      <c r="M658" s="102">
        <f>D715+D748</f>
        <v>75</v>
      </c>
    </row>
    <row r="659" spans="1:13" ht="24.75" customHeight="1">
      <c r="A659" s="491" t="s">
        <v>0</v>
      </c>
      <c r="B659" s="491"/>
      <c r="C659" s="491"/>
      <c r="D659" s="491"/>
      <c r="E659" s="491"/>
      <c r="F659" s="491"/>
      <c r="G659" s="491"/>
      <c r="H659" s="491"/>
      <c r="I659" s="491"/>
      <c r="J659" s="491"/>
      <c r="L659" s="35" t="s">
        <v>82</v>
      </c>
      <c r="M659" s="102">
        <f>B674+D714+D747+D717</f>
        <v>175</v>
      </c>
    </row>
    <row r="660" spans="1:13" ht="24.75" customHeight="1">
      <c r="A660" s="476" t="s">
        <v>44</v>
      </c>
      <c r="B660" s="476"/>
      <c r="C660" s="476"/>
      <c r="D660" s="476"/>
      <c r="E660" s="476"/>
      <c r="F660" s="476"/>
      <c r="G660" s="476"/>
      <c r="H660" s="476"/>
      <c r="I660" s="476"/>
      <c r="J660" s="476"/>
      <c r="L660" s="35" t="s">
        <v>83</v>
      </c>
      <c r="M660" s="405"/>
    </row>
    <row r="661" spans="1:13" ht="24.75" customHeight="1">
      <c r="A661" s="455" t="s">
        <v>2</v>
      </c>
      <c r="B661" s="449" t="s">
        <v>3</v>
      </c>
      <c r="C661" s="449" t="s">
        <v>4</v>
      </c>
      <c r="D661" s="455" t="s">
        <v>5</v>
      </c>
      <c r="E661" s="455"/>
      <c r="F661" s="455"/>
      <c r="G661" s="455"/>
      <c r="H661" s="455"/>
      <c r="I661" s="455"/>
      <c r="J661" s="446" t="s">
        <v>311</v>
      </c>
      <c r="K661" s="10"/>
      <c r="L661" s="36" t="s">
        <v>126</v>
      </c>
      <c r="M661" s="102">
        <f>B706+C666</f>
        <v>81</v>
      </c>
    </row>
    <row r="662" spans="1:13" ht="24.75" customHeight="1">
      <c r="A662" s="455"/>
      <c r="B662" s="449"/>
      <c r="C662" s="449"/>
      <c r="D662" s="449" t="s">
        <v>6</v>
      </c>
      <c r="E662" s="467" t="s">
        <v>7</v>
      </c>
      <c r="F662" s="467" t="s">
        <v>8</v>
      </c>
      <c r="G662" s="467" t="s">
        <v>9</v>
      </c>
      <c r="H662" s="453" t="s">
        <v>10</v>
      </c>
      <c r="I662" s="444" t="s">
        <v>312</v>
      </c>
      <c r="J662" s="447"/>
      <c r="K662" s="10"/>
      <c r="L662" s="204" t="s">
        <v>330</v>
      </c>
      <c r="M662" s="204"/>
    </row>
    <row r="663" spans="1:13" ht="24.75" customHeight="1">
      <c r="A663" s="455"/>
      <c r="B663" s="449"/>
      <c r="C663" s="449"/>
      <c r="D663" s="449"/>
      <c r="E663" s="467"/>
      <c r="F663" s="467"/>
      <c r="G663" s="467"/>
      <c r="H663" s="453"/>
      <c r="I663" s="445"/>
      <c r="J663" s="448"/>
      <c r="K663" s="10"/>
      <c r="L663" s="35" t="s">
        <v>138</v>
      </c>
      <c r="M663" s="102">
        <f>B691+B738</f>
        <v>283.39230769230767</v>
      </c>
    </row>
    <row r="664" spans="1:13" ht="24.75" customHeight="1">
      <c r="A664" s="466" t="s">
        <v>11</v>
      </c>
      <c r="B664" s="466"/>
      <c r="C664" s="466"/>
      <c r="D664" s="466"/>
      <c r="E664" s="128">
        <f>SUM(E665:E681)</f>
        <v>15.28</v>
      </c>
      <c r="F664" s="128">
        <f>SUM(F665:F681)</f>
        <v>17.95</v>
      </c>
      <c r="G664" s="128">
        <f>SUM(G665:G681)</f>
        <v>75.85</v>
      </c>
      <c r="H664" s="116">
        <f>SUM(H665:H681)</f>
        <v>526</v>
      </c>
      <c r="I664" s="128">
        <f>SUM(I665:I681)</f>
        <v>12.698</v>
      </c>
      <c r="J664" s="159"/>
      <c r="K664" s="14"/>
      <c r="L664" s="35" t="s">
        <v>84</v>
      </c>
      <c r="M664" s="102">
        <f>B698+B696+B697+B701+B708+B709+B684+B686+B723+B726+B732+B734</f>
        <v>280.07</v>
      </c>
    </row>
    <row r="665" spans="1:13" ht="24.75" customHeight="1">
      <c r="A665" s="468" t="s">
        <v>544</v>
      </c>
      <c r="B665" s="468"/>
      <c r="C665" s="468"/>
      <c r="D665" s="41" t="s">
        <v>242</v>
      </c>
      <c r="E665" s="145">
        <v>5.5</v>
      </c>
      <c r="F665" s="145">
        <v>10.1</v>
      </c>
      <c r="G665" s="145">
        <v>42</v>
      </c>
      <c r="H665" s="152">
        <f>E665*4+F665*9+G665*4</f>
        <v>280.9</v>
      </c>
      <c r="I665" s="306">
        <v>0.6</v>
      </c>
      <c r="J665" s="362" t="s">
        <v>507</v>
      </c>
      <c r="K665" s="14"/>
      <c r="L665" s="35" t="s">
        <v>85</v>
      </c>
      <c r="M665" s="102">
        <f>D681+B711</f>
        <v>225.6</v>
      </c>
    </row>
    <row r="666" spans="1:35" ht="24.75" customHeight="1">
      <c r="A666" s="115" t="s">
        <v>34</v>
      </c>
      <c r="B666" s="42">
        <v>27</v>
      </c>
      <c r="C666" s="42">
        <v>27</v>
      </c>
      <c r="D666" s="50"/>
      <c r="E666" s="50"/>
      <c r="F666" s="50"/>
      <c r="G666" s="50"/>
      <c r="H666" s="42"/>
      <c r="I666" s="307"/>
      <c r="J666" s="306"/>
      <c r="K666" s="14"/>
      <c r="L666" s="35" t="s">
        <v>127</v>
      </c>
      <c r="M666" s="102">
        <f>D719</f>
        <v>200</v>
      </c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</row>
    <row r="667" spans="1:13" ht="24.75" customHeight="1">
      <c r="A667" s="115" t="s">
        <v>149</v>
      </c>
      <c r="B667" s="42">
        <v>124</v>
      </c>
      <c r="C667" s="42">
        <v>124</v>
      </c>
      <c r="D667" s="50"/>
      <c r="E667" s="50"/>
      <c r="F667" s="50"/>
      <c r="G667" s="50"/>
      <c r="H667" s="42"/>
      <c r="I667" s="307"/>
      <c r="J667" s="306"/>
      <c r="K667" s="14"/>
      <c r="L667" s="35" t="s">
        <v>86</v>
      </c>
      <c r="M667" s="102">
        <f>B671</f>
        <v>18.5</v>
      </c>
    </row>
    <row r="668" spans="1:13" ht="24.75" customHeight="1">
      <c r="A668" s="139" t="s">
        <v>110</v>
      </c>
      <c r="B668" s="153">
        <v>78</v>
      </c>
      <c r="C668" s="153">
        <v>78</v>
      </c>
      <c r="D668" s="153"/>
      <c r="E668" s="153"/>
      <c r="F668" s="153"/>
      <c r="G668" s="153"/>
      <c r="H668" s="142"/>
      <c r="I668" s="306"/>
      <c r="J668" s="306"/>
      <c r="K668" s="14"/>
      <c r="L668" s="35" t="s">
        <v>87</v>
      </c>
      <c r="M668" s="102">
        <f>B669+B746+B713</f>
        <v>34</v>
      </c>
    </row>
    <row r="669" spans="1:13" ht="19.5" customHeight="1">
      <c r="A669" s="139" t="s">
        <v>161</v>
      </c>
      <c r="B669" s="142">
        <v>4</v>
      </c>
      <c r="C669" s="142">
        <v>4</v>
      </c>
      <c r="D669" s="161"/>
      <c r="E669" s="161"/>
      <c r="F669" s="161"/>
      <c r="G669" s="161"/>
      <c r="H669" s="142"/>
      <c r="I669" s="306"/>
      <c r="J669" s="306"/>
      <c r="K669" s="14"/>
      <c r="L669" s="240" t="s">
        <v>207</v>
      </c>
      <c r="M669" s="3">
        <f>B679</f>
        <v>10</v>
      </c>
    </row>
    <row r="670" spans="1:24" ht="24.75" customHeight="1">
      <c r="A670" s="115" t="s">
        <v>150</v>
      </c>
      <c r="B670" s="50">
        <v>1.1</v>
      </c>
      <c r="C670" s="50">
        <v>1.1</v>
      </c>
      <c r="D670" s="50"/>
      <c r="E670" s="50"/>
      <c r="F670" s="50"/>
      <c r="G670" s="50"/>
      <c r="H670" s="42"/>
      <c r="I670" s="307"/>
      <c r="J670" s="306"/>
      <c r="K670" s="14"/>
      <c r="L670" s="35" t="s">
        <v>128</v>
      </c>
      <c r="M670" s="102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13" ht="24.75" customHeight="1">
      <c r="A671" s="115" t="s">
        <v>67</v>
      </c>
      <c r="B671" s="50">
        <v>18.5</v>
      </c>
      <c r="C671" s="42">
        <v>18</v>
      </c>
      <c r="D671" s="50"/>
      <c r="E671" s="50"/>
      <c r="F671" s="50"/>
      <c r="G671" s="50"/>
      <c r="H671" s="42"/>
      <c r="I671" s="307"/>
      <c r="J671" s="306"/>
      <c r="K671" s="14"/>
      <c r="L671" s="35" t="s">
        <v>88</v>
      </c>
      <c r="M671" s="244">
        <f>B678+C745</f>
        <v>0.8</v>
      </c>
    </row>
    <row r="672" spans="1:13" ht="24.75" customHeight="1">
      <c r="A672" s="115" t="s">
        <v>27</v>
      </c>
      <c r="B672" s="16">
        <v>5</v>
      </c>
      <c r="C672" s="16">
        <v>5</v>
      </c>
      <c r="D672" s="16"/>
      <c r="E672" s="50"/>
      <c r="F672" s="50"/>
      <c r="G672" s="50"/>
      <c r="H672" s="42"/>
      <c r="I672" s="307"/>
      <c r="J672" s="306"/>
      <c r="K672" s="14"/>
      <c r="L672" s="35" t="s">
        <v>137</v>
      </c>
      <c r="M672" s="102">
        <f>B703</f>
        <v>106.65</v>
      </c>
    </row>
    <row r="673" spans="1:13" ht="24.75" customHeight="1">
      <c r="A673" s="468" t="s">
        <v>35</v>
      </c>
      <c r="B673" s="468"/>
      <c r="C673" s="468"/>
      <c r="D673" s="80" t="s">
        <v>216</v>
      </c>
      <c r="E673" s="145">
        <v>4.4</v>
      </c>
      <c r="F673" s="145">
        <v>3.8</v>
      </c>
      <c r="G673" s="145">
        <v>7.6</v>
      </c>
      <c r="H673" s="152">
        <f>G673*4+F673*9+E673*4</f>
        <v>82.19999999999999</v>
      </c>
      <c r="I673" s="306">
        <v>0.098</v>
      </c>
      <c r="J673" s="306" t="s">
        <v>376</v>
      </c>
      <c r="K673" s="14"/>
      <c r="L673" s="240" t="s">
        <v>208</v>
      </c>
      <c r="M673" s="393">
        <f>B730</f>
        <v>158.1</v>
      </c>
    </row>
    <row r="674" spans="1:13" ht="18" customHeight="1">
      <c r="A674" s="115" t="s">
        <v>356</v>
      </c>
      <c r="B674" s="16">
        <v>20</v>
      </c>
      <c r="C674" s="16">
        <v>20</v>
      </c>
      <c r="D674" s="41"/>
      <c r="E674" s="44"/>
      <c r="F674" s="44"/>
      <c r="G674" s="44"/>
      <c r="H674" s="45"/>
      <c r="I674" s="307"/>
      <c r="J674" s="306"/>
      <c r="K674" s="14"/>
      <c r="L674" s="35" t="s">
        <v>89</v>
      </c>
      <c r="M674" s="102"/>
    </row>
    <row r="675" spans="1:13" ht="24.75" customHeight="1">
      <c r="A675" s="115" t="s">
        <v>183</v>
      </c>
      <c r="B675" s="16">
        <v>16</v>
      </c>
      <c r="C675" s="16">
        <v>15</v>
      </c>
      <c r="D675" s="41"/>
      <c r="E675" s="44"/>
      <c r="F675" s="44"/>
      <c r="G675" s="44"/>
      <c r="H675" s="45"/>
      <c r="I675" s="307"/>
      <c r="J675" s="306"/>
      <c r="K675" s="14"/>
      <c r="L675" s="35" t="s">
        <v>130</v>
      </c>
      <c r="M675" s="102"/>
    </row>
    <row r="676" spans="1:13" ht="18" customHeight="1">
      <c r="A676" s="468" t="s">
        <v>279</v>
      </c>
      <c r="B676" s="468"/>
      <c r="C676" s="468"/>
      <c r="D676" s="151">
        <v>40</v>
      </c>
      <c r="E676" s="145">
        <v>4.78</v>
      </c>
      <c r="F676" s="145">
        <v>4.05</v>
      </c>
      <c r="G676" s="145">
        <v>0.25</v>
      </c>
      <c r="H676" s="152">
        <v>56.5</v>
      </c>
      <c r="I676" s="307">
        <v>0</v>
      </c>
      <c r="J676" s="306" t="s">
        <v>466</v>
      </c>
      <c r="K676" s="14"/>
      <c r="L676" s="36" t="s">
        <v>131</v>
      </c>
      <c r="M676" s="102">
        <f>B742+C667</f>
        <v>148</v>
      </c>
    </row>
    <row r="677" spans="1:13" ht="18.75" customHeight="1">
      <c r="A677" s="468" t="s">
        <v>193</v>
      </c>
      <c r="B677" s="468"/>
      <c r="C677" s="468"/>
      <c r="D677" s="151" t="s">
        <v>409</v>
      </c>
      <c r="E677" s="145">
        <v>0.2</v>
      </c>
      <c r="F677" s="145">
        <v>0</v>
      </c>
      <c r="G677" s="145">
        <v>8</v>
      </c>
      <c r="H677" s="152">
        <f>E677*4+F677*9+G677*4</f>
        <v>32.8</v>
      </c>
      <c r="I677" s="306">
        <v>0</v>
      </c>
      <c r="J677" s="306" t="s">
        <v>353</v>
      </c>
      <c r="K677" s="14"/>
      <c r="L677" s="39" t="s">
        <v>331</v>
      </c>
      <c r="M677" s="106">
        <f>B750</f>
        <v>154</v>
      </c>
    </row>
    <row r="678" spans="1:13" ht="32.25" customHeight="1">
      <c r="A678" s="115" t="s">
        <v>16</v>
      </c>
      <c r="B678" s="16">
        <v>0.4</v>
      </c>
      <c r="C678" s="16">
        <v>0.4</v>
      </c>
      <c r="D678" s="16"/>
      <c r="E678" s="50"/>
      <c r="F678" s="50"/>
      <c r="G678" s="50"/>
      <c r="H678" s="42"/>
      <c r="I678" s="307"/>
      <c r="J678" s="306"/>
      <c r="K678" s="10"/>
      <c r="L678" s="35" t="s">
        <v>90</v>
      </c>
      <c r="M678" s="102"/>
    </row>
    <row r="679" spans="1:13" ht="33" customHeight="1">
      <c r="A679" s="115" t="s">
        <v>410</v>
      </c>
      <c r="B679" s="16">
        <v>10</v>
      </c>
      <c r="C679" s="16">
        <v>10</v>
      </c>
      <c r="D679" s="16"/>
      <c r="E679" s="50"/>
      <c r="F679" s="50"/>
      <c r="G679" s="50"/>
      <c r="H679" s="42"/>
      <c r="I679" s="50"/>
      <c r="J679" s="306"/>
      <c r="K679" s="13"/>
      <c r="L679" s="35" t="s">
        <v>91</v>
      </c>
      <c r="M679" s="102">
        <f>B700+B733</f>
        <v>10</v>
      </c>
    </row>
    <row r="680" spans="1:13" ht="24.75" customHeight="1">
      <c r="A680" s="477" t="s">
        <v>151</v>
      </c>
      <c r="B680" s="477"/>
      <c r="C680" s="477"/>
      <c r="D680" s="477"/>
      <c r="E680" s="477"/>
      <c r="F680" s="477"/>
      <c r="G680" s="477"/>
      <c r="H680" s="477"/>
      <c r="I680" s="477"/>
      <c r="J680" s="477"/>
      <c r="K680" s="15"/>
      <c r="L680" s="35" t="s">
        <v>134</v>
      </c>
      <c r="M680" s="102">
        <f>B675</f>
        <v>16</v>
      </c>
    </row>
    <row r="681" spans="1:13" ht="47.25" customHeight="1">
      <c r="A681" s="472" t="s">
        <v>345</v>
      </c>
      <c r="B681" s="472"/>
      <c r="C681" s="472"/>
      <c r="D681" s="143">
        <v>180</v>
      </c>
      <c r="E681" s="145">
        <v>0.4</v>
      </c>
      <c r="F681" s="144">
        <v>0</v>
      </c>
      <c r="G681" s="145">
        <v>18</v>
      </c>
      <c r="H681" s="152">
        <f>E681*4+F681*9+G681*4</f>
        <v>73.6</v>
      </c>
      <c r="I681" s="306">
        <v>12</v>
      </c>
      <c r="J681" s="306"/>
      <c r="K681" s="14"/>
      <c r="L681" s="35" t="s">
        <v>92</v>
      </c>
      <c r="M681" s="102">
        <f>B699+B743+C672+C736</f>
        <v>20</v>
      </c>
    </row>
    <row r="682" spans="1:13" ht="24.75" customHeight="1">
      <c r="A682" s="466" t="s">
        <v>18</v>
      </c>
      <c r="B682" s="466"/>
      <c r="C682" s="466"/>
      <c r="D682" s="466"/>
      <c r="E682" s="128">
        <f>E683+E688+E702+E710+E714+E715</f>
        <v>25.87</v>
      </c>
      <c r="F682" s="128">
        <f>F683+F688+F702+F710+F714+F715</f>
        <v>25.27</v>
      </c>
      <c r="G682" s="128">
        <f>G683+G688+G702+G710+G714+G715</f>
        <v>106.24000000000001</v>
      </c>
      <c r="H682" s="116">
        <f>H683+H688+H702+H710+H714+H715</f>
        <v>754.6700000000001</v>
      </c>
      <c r="I682" s="128">
        <f>I683+I688+I702+I710+I714+I715</f>
        <v>14.499999999999998</v>
      </c>
      <c r="J682" s="159"/>
      <c r="K682" s="15"/>
      <c r="L682" s="35" t="s">
        <v>65</v>
      </c>
      <c r="M682" s="103">
        <f>B705+B687+B727+B735</f>
        <v>18</v>
      </c>
    </row>
    <row r="683" spans="1:35" s="3" customFormat="1" ht="24.75" customHeight="1" thickBot="1">
      <c r="A683" s="46" t="s">
        <v>418</v>
      </c>
      <c r="B683" s="16"/>
      <c r="C683" s="16"/>
      <c r="D683" s="41">
        <v>70</v>
      </c>
      <c r="E683" s="145">
        <v>0.6</v>
      </c>
      <c r="F683" s="145">
        <v>4</v>
      </c>
      <c r="G683" s="145">
        <v>1.8</v>
      </c>
      <c r="H683" s="152">
        <f>E683*4+F683*9+G683*4</f>
        <v>45.6</v>
      </c>
      <c r="I683" s="306">
        <v>10.2</v>
      </c>
      <c r="J683" s="306" t="s">
        <v>419</v>
      </c>
      <c r="K683" s="10"/>
      <c r="L683" s="37" t="s">
        <v>93</v>
      </c>
      <c r="M683" s="103">
        <f>D676</f>
        <v>40</v>
      </c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1:12" ht="24.75" customHeight="1">
      <c r="A684" s="115" t="s">
        <v>163</v>
      </c>
      <c r="B684" s="187">
        <f>C684*1.02</f>
        <v>66.3</v>
      </c>
      <c r="C684" s="183">
        <v>65</v>
      </c>
      <c r="D684" s="142"/>
      <c r="E684" s="161"/>
      <c r="F684" s="161"/>
      <c r="G684" s="161"/>
      <c r="H684" s="142"/>
      <c r="I684" s="306"/>
      <c r="J684" s="306"/>
      <c r="K684" s="14"/>
      <c r="L684" s="241" t="s">
        <v>209</v>
      </c>
    </row>
    <row r="685" spans="1:13" ht="24.75" customHeight="1">
      <c r="A685" s="115" t="s">
        <v>226</v>
      </c>
      <c r="B685" s="187">
        <f>C685*1.18</f>
        <v>76.7</v>
      </c>
      <c r="C685" s="183">
        <v>65</v>
      </c>
      <c r="D685" s="142"/>
      <c r="E685" s="161"/>
      <c r="F685" s="161"/>
      <c r="G685" s="161"/>
      <c r="H685" s="142"/>
      <c r="I685" s="306"/>
      <c r="J685" s="306"/>
      <c r="K685" s="13"/>
      <c r="L685" s="39" t="s">
        <v>219</v>
      </c>
      <c r="M685" s="244"/>
    </row>
    <row r="686" spans="1:24" ht="24.75" customHeight="1">
      <c r="A686" s="123" t="s">
        <v>70</v>
      </c>
      <c r="B686" s="94">
        <f>C686*1.35</f>
        <v>2.7</v>
      </c>
      <c r="C686" s="112">
        <v>2</v>
      </c>
      <c r="D686" s="42"/>
      <c r="E686" s="50"/>
      <c r="F686" s="50"/>
      <c r="G686" s="50"/>
      <c r="H686" s="42"/>
      <c r="I686" s="307"/>
      <c r="J686" s="306"/>
      <c r="K686" s="14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11" ht="24.75" customHeight="1">
      <c r="A687" s="123" t="s">
        <v>20</v>
      </c>
      <c r="B687" s="94">
        <v>4</v>
      </c>
      <c r="C687" s="112">
        <v>4</v>
      </c>
      <c r="D687" s="42"/>
      <c r="E687" s="50"/>
      <c r="F687" s="50"/>
      <c r="G687" s="50"/>
      <c r="H687" s="42"/>
      <c r="I687" s="307"/>
      <c r="J687" s="306"/>
      <c r="K687" s="14"/>
    </row>
    <row r="688" spans="1:11" ht="24.75" customHeight="1">
      <c r="A688" s="468" t="s">
        <v>572</v>
      </c>
      <c r="B688" s="468"/>
      <c r="C688" s="468"/>
      <c r="D688" s="41" t="s">
        <v>275</v>
      </c>
      <c r="E688" s="145">
        <v>4.71</v>
      </c>
      <c r="F688" s="145">
        <v>4.65</v>
      </c>
      <c r="G688" s="145">
        <v>12.3</v>
      </c>
      <c r="H688" s="152">
        <f>E688*4+F688*9+G688*4</f>
        <v>109.89</v>
      </c>
      <c r="I688" s="306">
        <v>2.2</v>
      </c>
      <c r="J688" s="306" t="s">
        <v>377</v>
      </c>
      <c r="K688" s="14"/>
    </row>
    <row r="689" spans="1:11" ht="24.75" customHeight="1">
      <c r="A689" s="16" t="s">
        <v>574</v>
      </c>
      <c r="B689" s="16">
        <v>19</v>
      </c>
      <c r="C689" s="16">
        <v>16</v>
      </c>
      <c r="D689" s="41"/>
      <c r="E689" s="145"/>
      <c r="F689" s="145"/>
      <c r="G689" s="145"/>
      <c r="H689" s="152"/>
      <c r="I689" s="306"/>
      <c r="J689" s="306"/>
      <c r="K689" s="14"/>
    </row>
    <row r="690" spans="1:11" ht="24.75" customHeight="1">
      <c r="A690" s="16" t="s">
        <v>573</v>
      </c>
      <c r="B690" s="16">
        <v>6</v>
      </c>
      <c r="C690" s="16">
        <v>6</v>
      </c>
      <c r="D690" s="41"/>
      <c r="E690" s="145"/>
      <c r="F690" s="145"/>
      <c r="G690" s="145"/>
      <c r="H690" s="152"/>
      <c r="I690" s="306"/>
      <c r="J690" s="306"/>
      <c r="K690" s="14"/>
    </row>
    <row r="691" spans="1:11" ht="24.75" customHeight="1">
      <c r="A691" s="184" t="s">
        <v>21</v>
      </c>
      <c r="B691" s="187">
        <f>C691*1.33</f>
        <v>113.05000000000001</v>
      </c>
      <c r="C691" s="183">
        <v>85</v>
      </c>
      <c r="D691" s="153"/>
      <c r="E691" s="161"/>
      <c r="F691" s="161"/>
      <c r="G691" s="161"/>
      <c r="H691" s="187"/>
      <c r="I691" s="317"/>
      <c r="J691" s="317"/>
      <c r="K691" s="14"/>
    </row>
    <row r="692" spans="1:11" ht="24.75" customHeight="1">
      <c r="A692" s="123" t="s">
        <v>22</v>
      </c>
      <c r="B692" s="94">
        <f>C692*1.43</f>
        <v>121.55</v>
      </c>
      <c r="C692" s="183">
        <v>85</v>
      </c>
      <c r="D692" s="16"/>
      <c r="E692" s="50"/>
      <c r="F692" s="140"/>
      <c r="G692" s="140"/>
      <c r="H692" s="94"/>
      <c r="I692" s="316"/>
      <c r="J692" s="317"/>
      <c r="K692" s="14"/>
    </row>
    <row r="693" spans="1:11" ht="24.75" customHeight="1">
      <c r="A693" s="123" t="s">
        <v>23</v>
      </c>
      <c r="B693" s="94">
        <f>C693*1.54</f>
        <v>130.9</v>
      </c>
      <c r="C693" s="183">
        <v>85</v>
      </c>
      <c r="D693" s="16"/>
      <c r="E693" s="50"/>
      <c r="F693" s="140"/>
      <c r="G693" s="140"/>
      <c r="H693" s="94"/>
      <c r="I693" s="316"/>
      <c r="J693" s="317"/>
      <c r="K693" s="14"/>
    </row>
    <row r="694" spans="1:11" ht="24.75" customHeight="1">
      <c r="A694" s="123" t="s">
        <v>24</v>
      </c>
      <c r="B694" s="94">
        <f>C694*1.67</f>
        <v>141.95</v>
      </c>
      <c r="C694" s="183">
        <v>85</v>
      </c>
      <c r="D694" s="16"/>
      <c r="E694" s="50"/>
      <c r="F694" s="140"/>
      <c r="G694" s="140"/>
      <c r="H694" s="94"/>
      <c r="I694" s="316"/>
      <c r="J694" s="317"/>
      <c r="K694" s="14"/>
    </row>
    <row r="695" spans="1:11" ht="24.75" customHeight="1">
      <c r="A695" s="123" t="s">
        <v>25</v>
      </c>
      <c r="B695" s="140">
        <f>C695*1.25</f>
        <v>12.5</v>
      </c>
      <c r="C695" s="112">
        <v>10</v>
      </c>
      <c r="D695" s="16"/>
      <c r="E695" s="50"/>
      <c r="F695" s="140"/>
      <c r="G695" s="140"/>
      <c r="H695" s="94"/>
      <c r="I695" s="316"/>
      <c r="J695" s="317"/>
      <c r="K695" s="14"/>
    </row>
    <row r="696" spans="1:11" ht="24.75" customHeight="1">
      <c r="A696" s="123" t="s">
        <v>19</v>
      </c>
      <c r="B696" s="94">
        <f>C696*1.33</f>
        <v>13.3</v>
      </c>
      <c r="C696" s="112">
        <v>10</v>
      </c>
      <c r="D696" s="16"/>
      <c r="E696" s="50"/>
      <c r="F696" s="140"/>
      <c r="G696" s="140"/>
      <c r="H696" s="94"/>
      <c r="I696" s="316"/>
      <c r="J696" s="317"/>
      <c r="K696" s="14"/>
    </row>
    <row r="697" spans="1:11" ht="24.75" customHeight="1">
      <c r="A697" s="123" t="s">
        <v>26</v>
      </c>
      <c r="B697" s="94">
        <f>C697*1.19</f>
        <v>11.899999999999999</v>
      </c>
      <c r="C697" s="112">
        <v>10</v>
      </c>
      <c r="D697" s="16"/>
      <c r="E697" s="144"/>
      <c r="F697" s="144"/>
      <c r="G697" s="144"/>
      <c r="H697" s="45"/>
      <c r="I697" s="307"/>
      <c r="J697" s="306"/>
      <c r="K697" s="14"/>
    </row>
    <row r="698" spans="1:11" ht="24.75" customHeight="1">
      <c r="A698" s="115" t="s">
        <v>342</v>
      </c>
      <c r="B698" s="348">
        <f>C698*1.82</f>
        <v>27.3</v>
      </c>
      <c r="C698" s="16">
        <v>15</v>
      </c>
      <c r="D698" s="16"/>
      <c r="E698" s="144"/>
      <c r="F698" s="144"/>
      <c r="G698" s="144"/>
      <c r="H698" s="45"/>
      <c r="I698" s="307"/>
      <c r="J698" s="306"/>
      <c r="K698" s="14"/>
    </row>
    <row r="699" spans="1:35" ht="24.75" customHeight="1">
      <c r="A699" s="123" t="s">
        <v>27</v>
      </c>
      <c r="B699" s="112">
        <v>6</v>
      </c>
      <c r="C699" s="112">
        <v>6</v>
      </c>
      <c r="D699" s="16"/>
      <c r="E699" s="50"/>
      <c r="F699" s="140"/>
      <c r="G699" s="140"/>
      <c r="H699" s="94"/>
      <c r="I699" s="316"/>
      <c r="J699" s="317"/>
      <c r="K699" s="14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</row>
    <row r="700" spans="1:11" ht="24.75" customHeight="1">
      <c r="A700" s="115" t="s">
        <v>95</v>
      </c>
      <c r="B700" s="112">
        <v>5</v>
      </c>
      <c r="C700" s="112">
        <v>5</v>
      </c>
      <c r="D700" s="16"/>
      <c r="E700" s="140"/>
      <c r="F700" s="140"/>
      <c r="G700" s="140"/>
      <c r="H700" s="94"/>
      <c r="I700" s="316"/>
      <c r="J700" s="317"/>
      <c r="K700" s="10"/>
    </row>
    <row r="701" spans="1:24" ht="24.75" customHeight="1">
      <c r="A701" s="123" t="s">
        <v>70</v>
      </c>
      <c r="B701" s="94">
        <v>3</v>
      </c>
      <c r="C701" s="112">
        <v>2</v>
      </c>
      <c r="D701" s="16"/>
      <c r="E701" s="140"/>
      <c r="F701" s="140"/>
      <c r="G701" s="140"/>
      <c r="H701" s="94"/>
      <c r="I701" s="316"/>
      <c r="J701" s="317"/>
      <c r="K701" s="10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24.75" customHeight="1">
      <c r="A702" s="468" t="s">
        <v>458</v>
      </c>
      <c r="B702" s="468"/>
      <c r="C702" s="468"/>
      <c r="D702" s="41">
        <v>240</v>
      </c>
      <c r="E702" s="145">
        <v>12.4</v>
      </c>
      <c r="F702" s="145">
        <v>14.9</v>
      </c>
      <c r="G702" s="145">
        <v>32</v>
      </c>
      <c r="H702" s="152">
        <f>E702*4+F702*9+G702*4</f>
        <v>311.7</v>
      </c>
      <c r="I702" s="306">
        <v>0.5</v>
      </c>
      <c r="J702" s="306" t="s">
        <v>459</v>
      </c>
      <c r="K702" s="10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24.75" customHeight="1">
      <c r="A703" s="158" t="s">
        <v>62</v>
      </c>
      <c r="B703" s="247">
        <f>C703*1.35</f>
        <v>106.65</v>
      </c>
      <c r="C703" s="153">
        <v>79</v>
      </c>
      <c r="D703" s="151"/>
      <c r="E703" s="145"/>
      <c r="F703" s="145"/>
      <c r="G703" s="145"/>
      <c r="H703" s="152"/>
      <c r="I703" s="385"/>
      <c r="J703" s="385"/>
      <c r="K703" s="10"/>
      <c r="N703" s="254"/>
      <c r="O703" s="254"/>
      <c r="P703" s="254"/>
      <c r="Q703" s="254"/>
      <c r="R703" s="254"/>
      <c r="S703" s="254"/>
      <c r="T703" s="254"/>
      <c r="U703" s="254"/>
      <c r="V703" s="254"/>
      <c r="W703" s="254"/>
      <c r="X703" s="254"/>
    </row>
    <row r="704" spans="1:24" ht="24.75" customHeight="1">
      <c r="A704" s="158" t="s">
        <v>74</v>
      </c>
      <c r="B704" s="23">
        <f>C704*1.18</f>
        <v>93.22</v>
      </c>
      <c r="C704" s="153">
        <v>79</v>
      </c>
      <c r="D704" s="153"/>
      <c r="E704" s="161"/>
      <c r="F704" s="161"/>
      <c r="G704" s="161"/>
      <c r="H704" s="142"/>
      <c r="I704" s="385"/>
      <c r="J704" s="385"/>
      <c r="K704" s="10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11" ht="17.25" customHeight="1">
      <c r="A705" s="123" t="s">
        <v>20</v>
      </c>
      <c r="B705" s="112">
        <v>8</v>
      </c>
      <c r="C705" s="183">
        <v>8</v>
      </c>
      <c r="D705" s="94"/>
      <c r="E705" s="94"/>
      <c r="F705" s="140"/>
      <c r="G705" s="140"/>
      <c r="H705" s="94"/>
      <c r="I705" s="316"/>
      <c r="J705" s="317"/>
      <c r="K705" s="10"/>
    </row>
    <row r="706" spans="1:11" s="34" customFormat="1" ht="16.5" customHeight="1">
      <c r="A706" s="115" t="s">
        <v>31</v>
      </c>
      <c r="B706" s="16">
        <v>54</v>
      </c>
      <c r="C706" s="16">
        <v>54</v>
      </c>
      <c r="D706" s="16"/>
      <c r="E706" s="50"/>
      <c r="F706" s="50"/>
      <c r="G706" s="50"/>
      <c r="H706" s="42"/>
      <c r="I706" s="385"/>
      <c r="J706" s="385"/>
      <c r="K706" s="14"/>
    </row>
    <row r="707" spans="1:24" s="34" customFormat="1" ht="18.75" customHeight="1">
      <c r="A707" s="115" t="s">
        <v>25</v>
      </c>
      <c r="B707" s="42">
        <f>C707*1.25</f>
        <v>50</v>
      </c>
      <c r="C707" s="16">
        <v>40</v>
      </c>
      <c r="D707" s="16"/>
      <c r="E707" s="50"/>
      <c r="F707" s="50"/>
      <c r="G707" s="50"/>
      <c r="H707" s="42"/>
      <c r="I707" s="385"/>
      <c r="J707" s="385"/>
      <c r="K707" s="10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</row>
    <row r="708" spans="1:11" s="34" customFormat="1" ht="24.75" customHeight="1">
      <c r="A708" s="115" t="s">
        <v>19</v>
      </c>
      <c r="B708" s="42">
        <f>C708*1.33</f>
        <v>53.2</v>
      </c>
      <c r="C708" s="16">
        <v>40</v>
      </c>
      <c r="D708" s="16"/>
      <c r="E708" s="50"/>
      <c r="F708" s="50"/>
      <c r="G708" s="50"/>
      <c r="H708" s="42"/>
      <c r="I708" s="385"/>
      <c r="J708" s="385"/>
      <c r="K708" s="14"/>
    </row>
    <row r="709" spans="1:24" ht="24.75" customHeight="1">
      <c r="A709" s="115" t="s">
        <v>26</v>
      </c>
      <c r="B709" s="42">
        <f>C709*1.19</f>
        <v>14.28</v>
      </c>
      <c r="C709" s="16">
        <v>12</v>
      </c>
      <c r="D709" s="16"/>
      <c r="E709" s="50"/>
      <c r="F709" s="50"/>
      <c r="G709" s="50"/>
      <c r="H709" s="42"/>
      <c r="I709" s="385"/>
      <c r="J709" s="385"/>
      <c r="K709" s="14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</row>
    <row r="710" spans="1:11" ht="24.75" customHeight="1">
      <c r="A710" s="468" t="s">
        <v>47</v>
      </c>
      <c r="B710" s="468"/>
      <c r="C710" s="468"/>
      <c r="D710" s="41">
        <v>200</v>
      </c>
      <c r="E710" s="44">
        <v>0.2</v>
      </c>
      <c r="F710" s="44">
        <v>0.2</v>
      </c>
      <c r="G710" s="44">
        <v>21.1</v>
      </c>
      <c r="H710" s="45">
        <f>E710*4+F710*9+G710*4</f>
        <v>87</v>
      </c>
      <c r="I710" s="307">
        <v>1.6</v>
      </c>
      <c r="J710" s="306" t="s">
        <v>378</v>
      </c>
      <c r="K710" s="14"/>
    </row>
    <row r="711" spans="1:11" ht="21.75" customHeight="1">
      <c r="A711" s="141" t="s">
        <v>347</v>
      </c>
      <c r="B711" s="140">
        <f>C711*1.14</f>
        <v>45.599999999999994</v>
      </c>
      <c r="C711" s="112">
        <v>40</v>
      </c>
      <c r="D711" s="112"/>
      <c r="E711" s="112"/>
      <c r="F711" s="112"/>
      <c r="G711" s="112"/>
      <c r="H711" s="94"/>
      <c r="I711" s="316"/>
      <c r="J711" s="317"/>
      <c r="K711" s="14"/>
    </row>
    <row r="712" spans="1:11" ht="35.25" customHeight="1">
      <c r="A712" s="141" t="s">
        <v>346</v>
      </c>
      <c r="B712" s="140">
        <f>C712*1.11</f>
        <v>44.400000000000006</v>
      </c>
      <c r="C712" s="112">
        <v>40</v>
      </c>
      <c r="D712" s="112"/>
      <c r="E712" s="112"/>
      <c r="F712" s="112"/>
      <c r="G712" s="112"/>
      <c r="H712" s="94"/>
      <c r="I712" s="316"/>
      <c r="J712" s="317"/>
      <c r="K712" s="14"/>
    </row>
    <row r="713" spans="1:11" ht="15.75" customHeight="1">
      <c r="A713" s="184" t="s">
        <v>12</v>
      </c>
      <c r="B713" s="183">
        <v>15</v>
      </c>
      <c r="C713" s="183">
        <v>15</v>
      </c>
      <c r="D713" s="183"/>
      <c r="E713" s="183"/>
      <c r="F713" s="183"/>
      <c r="G713" s="183"/>
      <c r="H713" s="183"/>
      <c r="I713" s="183"/>
      <c r="J713" s="317"/>
      <c r="K713" s="14"/>
    </row>
    <row r="714" spans="1:35" s="3" customFormat="1" ht="18" customHeight="1">
      <c r="A714" s="461" t="s">
        <v>258</v>
      </c>
      <c r="B714" s="461"/>
      <c r="C714" s="461"/>
      <c r="D714" s="151">
        <v>50</v>
      </c>
      <c r="E714" s="145">
        <v>4</v>
      </c>
      <c r="F714" s="145">
        <v>0.8000000000000002</v>
      </c>
      <c r="G714" s="145">
        <v>19</v>
      </c>
      <c r="H714" s="152">
        <v>97.99999999999999</v>
      </c>
      <c r="I714" s="306">
        <v>0</v>
      </c>
      <c r="J714" s="306"/>
      <c r="K714" s="1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1:35" s="3" customFormat="1" ht="17.25" customHeight="1">
      <c r="A715" s="461" t="s">
        <v>72</v>
      </c>
      <c r="B715" s="461"/>
      <c r="C715" s="461"/>
      <c r="D715" s="151">
        <v>60</v>
      </c>
      <c r="E715" s="145">
        <v>3.96</v>
      </c>
      <c r="F715" s="145">
        <v>0.72</v>
      </c>
      <c r="G715" s="145">
        <v>20.04</v>
      </c>
      <c r="H715" s="152">
        <v>102.48</v>
      </c>
      <c r="I715" s="306">
        <v>0</v>
      </c>
      <c r="J715" s="306"/>
      <c r="K715" s="1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1:24" s="254" customFormat="1" ht="24.75" customHeight="1">
      <c r="A716" s="466" t="s">
        <v>61</v>
      </c>
      <c r="B716" s="466"/>
      <c r="C716" s="466"/>
      <c r="D716" s="466"/>
      <c r="E716" s="128">
        <f>E717+E719</f>
        <v>1.6</v>
      </c>
      <c r="F716" s="128">
        <f>F717+F719</f>
        <v>1.6</v>
      </c>
      <c r="G716" s="128">
        <f>G717+G719</f>
        <v>68.6</v>
      </c>
      <c r="H716" s="116">
        <f>H717+H719</f>
        <v>295.20000000000005</v>
      </c>
      <c r="I716" s="128">
        <f>I717+I719</f>
        <v>19</v>
      </c>
      <c r="J716" s="159"/>
      <c r="K716" s="131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</row>
    <row r="717" spans="1:35" s="3" customFormat="1" ht="39.75" customHeight="1">
      <c r="A717" s="462" t="s">
        <v>559</v>
      </c>
      <c r="B717" s="462"/>
      <c r="C717" s="462"/>
      <c r="D717" s="143">
        <v>90</v>
      </c>
      <c r="E717" s="144">
        <v>1.5</v>
      </c>
      <c r="F717" s="144">
        <v>1.6</v>
      </c>
      <c r="G717" s="144">
        <v>46.6</v>
      </c>
      <c r="H717" s="152">
        <f>E717*4+F717*9+G717*4</f>
        <v>206.8</v>
      </c>
      <c r="I717" s="306">
        <v>0</v>
      </c>
      <c r="J717" s="306"/>
      <c r="K717" s="14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1:24" ht="24.75" customHeight="1">
      <c r="A718" s="463" t="s">
        <v>399</v>
      </c>
      <c r="B718" s="464"/>
      <c r="C718" s="465"/>
      <c r="D718" s="143"/>
      <c r="E718" s="54"/>
      <c r="F718" s="54"/>
      <c r="G718" s="54"/>
      <c r="H718" s="45"/>
      <c r="I718" s="307"/>
      <c r="J718" s="306"/>
      <c r="K718" s="70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11" ht="24.75" customHeight="1">
      <c r="A719" s="482" t="s">
        <v>504</v>
      </c>
      <c r="B719" s="482"/>
      <c r="C719" s="482"/>
      <c r="D719" s="143">
        <v>200</v>
      </c>
      <c r="E719" s="143">
        <v>0.1</v>
      </c>
      <c r="F719" s="144">
        <v>0</v>
      </c>
      <c r="G719" s="144">
        <v>22</v>
      </c>
      <c r="H719" s="152">
        <f>E719*4+F719*9+G719*4</f>
        <v>88.4</v>
      </c>
      <c r="I719" s="317">
        <v>19</v>
      </c>
      <c r="J719" s="317" t="s">
        <v>503</v>
      </c>
      <c r="K719" s="87"/>
    </row>
    <row r="720" spans="1:35" s="4" customFormat="1" ht="24.75" customHeight="1">
      <c r="A720" s="466" t="s">
        <v>30</v>
      </c>
      <c r="B720" s="466"/>
      <c r="C720" s="466"/>
      <c r="D720" s="466"/>
      <c r="E720" s="128">
        <f>SUM(E721:E750)</f>
        <v>22.849999999999998</v>
      </c>
      <c r="F720" s="128">
        <f>SUM(F721:F750)</f>
        <v>25.790000000000003</v>
      </c>
      <c r="G720" s="128">
        <f>SUM(G721:G750)</f>
        <v>54.440000000000005</v>
      </c>
      <c r="H720" s="116">
        <f>SUM(H721:H750)</f>
        <v>541.27</v>
      </c>
      <c r="I720" s="128">
        <f>SUM(I721:I750)</f>
        <v>39.525</v>
      </c>
      <c r="J720" s="159"/>
      <c r="K720" s="87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</row>
    <row r="721" spans="1:24" ht="24.75" customHeight="1">
      <c r="A721" s="495" t="s">
        <v>231</v>
      </c>
      <c r="B721" s="495"/>
      <c r="C721" s="495"/>
      <c r="D721" s="53">
        <v>70</v>
      </c>
      <c r="E721" s="54">
        <v>0.7</v>
      </c>
      <c r="F721" s="54">
        <v>4</v>
      </c>
      <c r="G721" s="54">
        <v>2.1</v>
      </c>
      <c r="H721" s="45">
        <f>E721*4+F721*9+G721*4</f>
        <v>47.199999999999996</v>
      </c>
      <c r="I721" s="307">
        <v>12.005</v>
      </c>
      <c r="J721" s="306" t="s">
        <v>348</v>
      </c>
      <c r="K721" s="71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s="165" customFormat="1" ht="24.75" customHeight="1">
      <c r="A722" s="184" t="s">
        <v>122</v>
      </c>
      <c r="B722" s="187">
        <f>C722*1.02</f>
        <v>35.7</v>
      </c>
      <c r="C722" s="187">
        <v>35</v>
      </c>
      <c r="D722" s="183"/>
      <c r="E722" s="188"/>
      <c r="F722" s="188"/>
      <c r="G722" s="188"/>
      <c r="H722" s="187"/>
      <c r="I722" s="317"/>
      <c r="J722" s="317"/>
      <c r="K722" s="1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</row>
    <row r="723" spans="1:11" ht="24.75" customHeight="1">
      <c r="A723" s="436" t="s">
        <v>227</v>
      </c>
      <c r="B723" s="187">
        <f>C723*1.18</f>
        <v>41.3</v>
      </c>
      <c r="C723" s="187">
        <v>35</v>
      </c>
      <c r="D723" s="183"/>
      <c r="E723" s="188"/>
      <c r="F723" s="188"/>
      <c r="G723" s="188"/>
      <c r="H723" s="187"/>
      <c r="I723" s="317"/>
      <c r="J723" s="317"/>
      <c r="K723" s="60"/>
    </row>
    <row r="724" spans="1:11" ht="24.75" customHeight="1">
      <c r="A724" s="184" t="s">
        <v>163</v>
      </c>
      <c r="B724" s="187">
        <f>C724*1.02</f>
        <v>31.62</v>
      </c>
      <c r="C724" s="187">
        <v>31</v>
      </c>
      <c r="D724" s="183"/>
      <c r="E724" s="188"/>
      <c r="F724" s="188"/>
      <c r="G724" s="188"/>
      <c r="H724" s="187"/>
      <c r="I724" s="317"/>
      <c r="J724" s="317"/>
      <c r="K724" s="60"/>
    </row>
    <row r="725" spans="1:11" ht="24.75" customHeight="1">
      <c r="A725" s="290" t="s">
        <v>226</v>
      </c>
      <c r="B725" s="187">
        <f>C725*1.05</f>
        <v>32.550000000000004</v>
      </c>
      <c r="C725" s="187">
        <v>31</v>
      </c>
      <c r="D725" s="183"/>
      <c r="E725" s="188"/>
      <c r="F725" s="188"/>
      <c r="G725" s="188"/>
      <c r="H725" s="187"/>
      <c r="I725" s="317"/>
      <c r="J725" s="317"/>
      <c r="K725" s="60"/>
    </row>
    <row r="726" spans="1:11" ht="24.75" customHeight="1">
      <c r="A726" s="123" t="s">
        <v>228</v>
      </c>
      <c r="B726" s="94">
        <f>C726*1.33</f>
        <v>41.230000000000004</v>
      </c>
      <c r="C726" s="94">
        <v>31</v>
      </c>
      <c r="D726" s="112"/>
      <c r="E726" s="220"/>
      <c r="F726" s="220"/>
      <c r="G726" s="220"/>
      <c r="H726" s="152"/>
      <c r="I726" s="306"/>
      <c r="J726" s="306"/>
      <c r="K726" s="60"/>
    </row>
    <row r="727" spans="1:11" ht="24.75" customHeight="1">
      <c r="A727" s="123" t="s">
        <v>20</v>
      </c>
      <c r="B727" s="94">
        <v>4</v>
      </c>
      <c r="C727" s="94">
        <v>4</v>
      </c>
      <c r="D727" s="112"/>
      <c r="E727" s="140"/>
      <c r="F727" s="140"/>
      <c r="G727" s="140"/>
      <c r="H727" s="94"/>
      <c r="I727" s="316"/>
      <c r="J727" s="317"/>
      <c r="K727" s="60"/>
    </row>
    <row r="728" spans="1:11" ht="24.75" customHeight="1">
      <c r="A728" s="468" t="s">
        <v>442</v>
      </c>
      <c r="B728" s="468"/>
      <c r="C728" s="468"/>
      <c r="D728" s="41">
        <v>110</v>
      </c>
      <c r="E728" s="44">
        <v>13.5</v>
      </c>
      <c r="F728" s="44">
        <v>13.6</v>
      </c>
      <c r="G728" s="44">
        <v>0.4</v>
      </c>
      <c r="H728" s="45">
        <f>E728*4+F728*9+G728*4</f>
        <v>177.99999999999997</v>
      </c>
      <c r="I728" s="307">
        <v>1.1</v>
      </c>
      <c r="J728" s="306" t="s">
        <v>445</v>
      </c>
      <c r="K728" s="60"/>
    </row>
    <row r="729" spans="1:11" ht="24.75" customHeight="1">
      <c r="A729" s="158" t="s">
        <v>575</v>
      </c>
      <c r="B729" s="247">
        <f>C729*1.12</f>
        <v>168.00000000000003</v>
      </c>
      <c r="C729" s="16">
        <v>150</v>
      </c>
      <c r="D729" s="16"/>
      <c r="E729" s="50"/>
      <c r="F729" s="50"/>
      <c r="G729" s="50"/>
      <c r="H729" s="42"/>
      <c r="I729" s="385"/>
      <c r="J729" s="392"/>
      <c r="K729" s="10"/>
    </row>
    <row r="730" spans="1:35" ht="24.75" customHeight="1">
      <c r="A730" s="158" t="s">
        <v>443</v>
      </c>
      <c r="B730" s="247">
        <f>1.054*C730</f>
        <v>158.1</v>
      </c>
      <c r="C730" s="16">
        <v>150</v>
      </c>
      <c r="D730" s="16"/>
      <c r="E730" s="364"/>
      <c r="F730" s="364"/>
      <c r="G730" s="364"/>
      <c r="H730" s="364"/>
      <c r="I730" s="364"/>
      <c r="J730" s="385"/>
      <c r="K730" s="14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</row>
    <row r="731" spans="1:35" ht="24.75" customHeight="1">
      <c r="A731" s="391" t="s">
        <v>444</v>
      </c>
      <c r="B731" s="247">
        <f>C731*1.12</f>
        <v>168.00000000000003</v>
      </c>
      <c r="C731" s="16">
        <v>150</v>
      </c>
      <c r="D731" s="16"/>
      <c r="E731" s="50"/>
      <c r="F731" s="50"/>
      <c r="G731" s="50"/>
      <c r="H731" s="42"/>
      <c r="I731" s="385"/>
      <c r="J731" s="385"/>
      <c r="K731" s="207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</row>
    <row r="732" spans="1:11" ht="24.75" customHeight="1">
      <c r="A732" s="172" t="s">
        <v>215</v>
      </c>
      <c r="B732" s="16">
        <v>3</v>
      </c>
      <c r="C732" s="16">
        <v>3</v>
      </c>
      <c r="D732" s="16"/>
      <c r="E732" s="50"/>
      <c r="F732" s="50"/>
      <c r="G732" s="50"/>
      <c r="H732" s="42"/>
      <c r="I732" s="385"/>
      <c r="J732" s="385"/>
      <c r="K732" s="207"/>
    </row>
    <row r="733" spans="1:11" ht="24.75" customHeight="1">
      <c r="A733" s="172" t="s">
        <v>95</v>
      </c>
      <c r="B733" s="16">
        <v>5</v>
      </c>
      <c r="C733" s="16">
        <v>5</v>
      </c>
      <c r="D733" s="16"/>
      <c r="E733" s="50"/>
      <c r="F733" s="50"/>
      <c r="G733" s="50"/>
      <c r="H733" s="42"/>
      <c r="I733" s="385"/>
      <c r="J733" s="385"/>
      <c r="K733" s="207"/>
    </row>
    <row r="734" spans="1:35" ht="24.75" customHeight="1">
      <c r="A734" s="115" t="s">
        <v>118</v>
      </c>
      <c r="B734" s="50">
        <f>C734*1.28</f>
        <v>2.56</v>
      </c>
      <c r="C734" s="16">
        <v>2</v>
      </c>
      <c r="D734" s="16"/>
      <c r="E734" s="50"/>
      <c r="F734" s="50"/>
      <c r="G734" s="50"/>
      <c r="H734" s="42"/>
      <c r="I734" s="385"/>
      <c r="J734" s="385"/>
      <c r="K734" s="208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</row>
    <row r="735" spans="1:11" ht="24.75" customHeight="1">
      <c r="A735" s="115" t="s">
        <v>20</v>
      </c>
      <c r="B735" s="16">
        <v>2</v>
      </c>
      <c r="C735" s="16">
        <v>2</v>
      </c>
      <c r="D735" s="16"/>
      <c r="E735" s="50"/>
      <c r="F735" s="50"/>
      <c r="G735" s="50"/>
      <c r="H735" s="42"/>
      <c r="I735" s="385"/>
      <c r="J735" s="385"/>
      <c r="K735" s="208"/>
    </row>
    <row r="736" spans="1:11" ht="24.75" customHeight="1">
      <c r="A736" s="115" t="s">
        <v>27</v>
      </c>
      <c r="B736" s="16">
        <v>5</v>
      </c>
      <c r="C736" s="16">
        <v>5</v>
      </c>
      <c r="D736" s="16"/>
      <c r="E736" s="50"/>
      <c r="F736" s="50"/>
      <c r="G736" s="50"/>
      <c r="H736" s="42"/>
      <c r="I736" s="385"/>
      <c r="J736" s="385"/>
      <c r="K736" s="208"/>
    </row>
    <row r="737" spans="1:11" ht="24.75" customHeight="1">
      <c r="A737" s="468" t="s">
        <v>49</v>
      </c>
      <c r="B737" s="468"/>
      <c r="C737" s="468"/>
      <c r="D737" s="41">
        <v>150</v>
      </c>
      <c r="E737" s="145">
        <v>3.2</v>
      </c>
      <c r="F737" s="145">
        <v>4.2</v>
      </c>
      <c r="G737" s="145">
        <v>21.6</v>
      </c>
      <c r="H737" s="152">
        <f>E737*4+F737*9+G737*4</f>
        <v>137</v>
      </c>
      <c r="I737" s="306">
        <v>25.4</v>
      </c>
      <c r="J737" s="306" t="s">
        <v>364</v>
      </c>
      <c r="K737" s="208"/>
    </row>
    <row r="738" spans="1:11" ht="24.75" customHeight="1">
      <c r="A738" s="139" t="s">
        <v>21</v>
      </c>
      <c r="B738" s="187">
        <f>C738*1.33</f>
        <v>170.34230769230768</v>
      </c>
      <c r="C738" s="142">
        <v>128.07692307692307</v>
      </c>
      <c r="D738" s="142"/>
      <c r="E738" s="161"/>
      <c r="F738" s="161"/>
      <c r="G738" s="161"/>
      <c r="H738" s="142"/>
      <c r="I738" s="306"/>
      <c r="J738" s="306"/>
      <c r="K738" s="208"/>
    </row>
    <row r="739" spans="1:11" ht="24.75" customHeight="1">
      <c r="A739" s="115" t="s">
        <v>22</v>
      </c>
      <c r="B739" s="94">
        <f>C739*1.43</f>
        <v>183.14999999999998</v>
      </c>
      <c r="C739" s="42">
        <v>128.07692307692307</v>
      </c>
      <c r="D739" s="42"/>
      <c r="E739" s="50"/>
      <c r="F739" s="50"/>
      <c r="G739" s="50"/>
      <c r="H739" s="42"/>
      <c r="I739" s="307"/>
      <c r="J739" s="306"/>
      <c r="K739" s="208"/>
    </row>
    <row r="740" spans="1:11" ht="24.75" customHeight="1">
      <c r="A740" s="123" t="s">
        <v>23</v>
      </c>
      <c r="B740" s="94">
        <f>C740*1.54</f>
        <v>197.23846153846154</v>
      </c>
      <c r="C740" s="42">
        <v>128.07692307692307</v>
      </c>
      <c r="D740" s="42"/>
      <c r="E740" s="50"/>
      <c r="F740" s="50"/>
      <c r="G740" s="50"/>
      <c r="H740" s="42"/>
      <c r="I740" s="307"/>
      <c r="J740" s="306"/>
      <c r="K740" s="208"/>
    </row>
    <row r="741" spans="1:11" ht="24.75" customHeight="1">
      <c r="A741" s="123" t="s">
        <v>24</v>
      </c>
      <c r="B741" s="94">
        <f>C741*1.67</f>
        <v>213.8884615384615</v>
      </c>
      <c r="C741" s="42">
        <v>128.07692307692307</v>
      </c>
      <c r="D741" s="42"/>
      <c r="E741" s="50"/>
      <c r="F741" s="50"/>
      <c r="G741" s="50"/>
      <c r="H741" s="42"/>
      <c r="I741" s="307"/>
      <c r="J741" s="306"/>
      <c r="K741" s="14"/>
    </row>
    <row r="742" spans="1:11" ht="24.75" customHeight="1">
      <c r="A742" s="182" t="s">
        <v>149</v>
      </c>
      <c r="B742" s="42">
        <v>24</v>
      </c>
      <c r="C742" s="42">
        <v>24</v>
      </c>
      <c r="D742" s="42"/>
      <c r="E742" s="50"/>
      <c r="F742" s="50"/>
      <c r="G742" s="50"/>
      <c r="H742" s="42"/>
      <c r="I742" s="307"/>
      <c r="J742" s="306"/>
      <c r="K742" s="14"/>
    </row>
    <row r="743" spans="1:11" ht="24.75" customHeight="1">
      <c r="A743" s="115" t="s">
        <v>27</v>
      </c>
      <c r="B743" s="42">
        <v>4</v>
      </c>
      <c r="C743" s="42">
        <v>4</v>
      </c>
      <c r="D743" s="42"/>
      <c r="E743" s="50"/>
      <c r="F743" s="50"/>
      <c r="G743" s="50"/>
      <c r="H743" s="42"/>
      <c r="I743" s="307"/>
      <c r="J743" s="306"/>
      <c r="K743" s="10"/>
    </row>
    <row r="744" spans="1:11" ht="24.75" customHeight="1">
      <c r="A744" s="468" t="s">
        <v>394</v>
      </c>
      <c r="B744" s="468"/>
      <c r="C744" s="468"/>
      <c r="D744" s="41">
        <v>200</v>
      </c>
      <c r="E744" s="44">
        <v>0</v>
      </c>
      <c r="F744" s="44">
        <v>0</v>
      </c>
      <c r="G744" s="44">
        <v>13.6</v>
      </c>
      <c r="H744" s="45">
        <f>E744*4+F744*9+G744*4</f>
        <v>54.4</v>
      </c>
      <c r="I744" s="307">
        <v>0</v>
      </c>
      <c r="J744" s="306" t="s">
        <v>353</v>
      </c>
      <c r="K744" s="10"/>
    </row>
    <row r="745" spans="1:11" ht="24.75" customHeight="1">
      <c r="A745" s="172" t="s">
        <v>395</v>
      </c>
      <c r="B745" s="16">
        <v>0.4</v>
      </c>
      <c r="C745" s="16">
        <v>0.4</v>
      </c>
      <c r="D745" s="16"/>
      <c r="E745" s="50"/>
      <c r="F745" s="50"/>
      <c r="G745" s="50"/>
      <c r="H745" s="42"/>
      <c r="I745" s="364"/>
      <c r="J745" s="364"/>
      <c r="K745" s="10"/>
    </row>
    <row r="746" spans="1:11" ht="24.75" customHeight="1">
      <c r="A746" s="184" t="s">
        <v>12</v>
      </c>
      <c r="B746" s="183">
        <v>15</v>
      </c>
      <c r="C746" s="183">
        <v>15</v>
      </c>
      <c r="D746" s="183"/>
      <c r="E746" s="183"/>
      <c r="F746" s="183"/>
      <c r="G746" s="183"/>
      <c r="H746" s="183"/>
      <c r="I746" s="183"/>
      <c r="J746" s="317"/>
      <c r="K746" s="10"/>
    </row>
    <row r="747" spans="1:13" ht="40.5" customHeight="1" thickBot="1">
      <c r="A747" s="461" t="s">
        <v>258</v>
      </c>
      <c r="B747" s="461"/>
      <c r="C747" s="461"/>
      <c r="D747" s="151">
        <v>15</v>
      </c>
      <c r="E747" s="145">
        <v>1.23</v>
      </c>
      <c r="F747" s="145">
        <v>0.21000000000000002</v>
      </c>
      <c r="G747" s="145">
        <v>5.7</v>
      </c>
      <c r="H747" s="152">
        <v>29.610000000000003</v>
      </c>
      <c r="I747" s="306">
        <v>0</v>
      </c>
      <c r="J747" s="306"/>
      <c r="K747" s="10"/>
      <c r="L747" s="181" t="s">
        <v>48</v>
      </c>
      <c r="M747" s="102"/>
    </row>
    <row r="748" spans="1:13" ht="59.25" customHeight="1">
      <c r="A748" s="461" t="s">
        <v>72</v>
      </c>
      <c r="B748" s="461"/>
      <c r="C748" s="461"/>
      <c r="D748" s="151">
        <v>15</v>
      </c>
      <c r="E748" s="145">
        <v>1.02</v>
      </c>
      <c r="F748" s="145">
        <v>0.18</v>
      </c>
      <c r="G748" s="145">
        <v>5.04</v>
      </c>
      <c r="H748" s="152">
        <v>25.859999999999996</v>
      </c>
      <c r="I748" s="306">
        <v>0</v>
      </c>
      <c r="J748" s="306"/>
      <c r="K748" s="10"/>
      <c r="L748" s="59" t="s">
        <v>72</v>
      </c>
      <c r="M748" s="102">
        <f>D820+D845</f>
        <v>90</v>
      </c>
    </row>
    <row r="749" spans="1:13" ht="69.75" customHeight="1">
      <c r="A749" s="466" t="s">
        <v>232</v>
      </c>
      <c r="B749" s="466"/>
      <c r="C749" s="466"/>
      <c r="D749" s="466"/>
      <c r="E749" s="466"/>
      <c r="F749" s="466"/>
      <c r="G749" s="466"/>
      <c r="H749" s="466"/>
      <c r="I749" s="466"/>
      <c r="J749" s="466"/>
      <c r="K749" s="10"/>
      <c r="L749" s="35" t="s">
        <v>82</v>
      </c>
      <c r="M749" s="259">
        <f>D819+D846+D774+C74+D7688+D822</f>
        <v>175</v>
      </c>
    </row>
    <row r="750" spans="1:13" ht="35.25" customHeight="1">
      <c r="A750" s="274" t="s">
        <v>257</v>
      </c>
      <c r="B750" s="16">
        <v>154</v>
      </c>
      <c r="C750" s="112">
        <v>150</v>
      </c>
      <c r="D750" s="41">
        <v>150</v>
      </c>
      <c r="E750" s="44">
        <v>3.2</v>
      </c>
      <c r="F750" s="44">
        <v>3.6</v>
      </c>
      <c r="G750" s="44">
        <v>6</v>
      </c>
      <c r="H750" s="45">
        <f>E750*4+F750*9+G750*4</f>
        <v>69.2</v>
      </c>
      <c r="I750" s="307">
        <v>1.02</v>
      </c>
      <c r="J750" s="306" t="s">
        <v>372</v>
      </c>
      <c r="K750" s="10"/>
      <c r="L750" s="221" t="s">
        <v>83</v>
      </c>
      <c r="M750" s="133">
        <f>B801</f>
        <v>2</v>
      </c>
    </row>
    <row r="751" spans="1:13" ht="24.75" customHeight="1">
      <c r="A751" s="478" t="s">
        <v>142</v>
      </c>
      <c r="B751" s="478"/>
      <c r="C751" s="478"/>
      <c r="D751" s="478"/>
      <c r="E751" s="216">
        <f>E749+E720+E716+E682+E664+E680</f>
        <v>65.6</v>
      </c>
      <c r="F751" s="216">
        <f>F749+F720+F716+F682+F664+F680</f>
        <v>70.61</v>
      </c>
      <c r="G751" s="216">
        <f>G749+G720+G716+G682+G664+G680</f>
        <v>305.13</v>
      </c>
      <c r="H751" s="217">
        <f>H749+H720+H716+H682+H664+H680</f>
        <v>2117.1400000000003</v>
      </c>
      <c r="I751" s="318">
        <f>I749+I720+I716+I682+I664+I680</f>
        <v>85.72299999999998</v>
      </c>
      <c r="J751" s="324"/>
      <c r="K751" s="10"/>
      <c r="L751" s="36" t="s">
        <v>126</v>
      </c>
      <c r="M751" s="102">
        <f>B813</f>
        <v>37.5</v>
      </c>
    </row>
    <row r="752" spans="1:13" ht="24.75" customHeight="1">
      <c r="A752" s="492" t="s">
        <v>0</v>
      </c>
      <c r="B752" s="492"/>
      <c r="C752" s="492"/>
      <c r="D752" s="492"/>
      <c r="E752" s="492"/>
      <c r="F752" s="492"/>
      <c r="G752" s="492"/>
      <c r="H752" s="492"/>
      <c r="I752" s="492"/>
      <c r="J752" s="492"/>
      <c r="K752" s="14"/>
      <c r="L752" s="39" t="s">
        <v>330</v>
      </c>
      <c r="M752" s="102">
        <f>C761</f>
        <v>20</v>
      </c>
    </row>
    <row r="753" spans="1:13" ht="24.75" customHeight="1">
      <c r="A753" s="493" t="s">
        <v>48</v>
      </c>
      <c r="B753" s="493"/>
      <c r="C753" s="493"/>
      <c r="D753" s="493"/>
      <c r="E753" s="493"/>
      <c r="F753" s="493"/>
      <c r="G753" s="493"/>
      <c r="H753" s="493"/>
      <c r="I753" s="493"/>
      <c r="J753" s="493"/>
      <c r="K753" s="14"/>
      <c r="L753" s="35" t="s">
        <v>138</v>
      </c>
      <c r="M753" s="102">
        <f>B788+B833</f>
        <v>305.90000000000003</v>
      </c>
    </row>
    <row r="754" spans="1:24" ht="24.75" customHeight="1">
      <c r="A754" s="455" t="s">
        <v>2</v>
      </c>
      <c r="B754" s="449" t="s">
        <v>3</v>
      </c>
      <c r="C754" s="449" t="s">
        <v>4</v>
      </c>
      <c r="D754" s="455" t="s">
        <v>5</v>
      </c>
      <c r="E754" s="455"/>
      <c r="F754" s="455"/>
      <c r="G754" s="455"/>
      <c r="H754" s="455"/>
      <c r="I754" s="455"/>
      <c r="J754" s="446" t="s">
        <v>311</v>
      </c>
      <c r="K754" s="14"/>
      <c r="L754" s="35" t="s">
        <v>84</v>
      </c>
      <c r="M754" s="102">
        <f>B780+B781+B827+B828+B838+B839+B792+B794+B767+B840</f>
        <v>243.51000000000002</v>
      </c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13" ht="24.75" customHeight="1">
      <c r="A755" s="455"/>
      <c r="B755" s="449"/>
      <c r="C755" s="449"/>
      <c r="D755" s="449" t="s">
        <v>6</v>
      </c>
      <c r="E755" s="467" t="s">
        <v>7</v>
      </c>
      <c r="F755" s="467" t="s">
        <v>8</v>
      </c>
      <c r="G755" s="467" t="s">
        <v>9</v>
      </c>
      <c r="H755" s="453" t="s">
        <v>10</v>
      </c>
      <c r="I755" s="444" t="s">
        <v>312</v>
      </c>
      <c r="J755" s="447"/>
      <c r="K755" s="14"/>
      <c r="L755" s="35" t="s">
        <v>85</v>
      </c>
      <c r="M755" s="102">
        <f>D776</f>
        <v>180</v>
      </c>
    </row>
    <row r="756" spans="1:13" ht="24.75" customHeight="1">
      <c r="A756" s="455"/>
      <c r="B756" s="449"/>
      <c r="C756" s="449"/>
      <c r="D756" s="449"/>
      <c r="E756" s="467"/>
      <c r="F756" s="467"/>
      <c r="G756" s="467"/>
      <c r="H756" s="453"/>
      <c r="I756" s="445"/>
      <c r="J756" s="448"/>
      <c r="K756" s="10"/>
      <c r="L756" s="35" t="s">
        <v>127</v>
      </c>
      <c r="M756" s="102">
        <f>D824</f>
        <v>200</v>
      </c>
    </row>
    <row r="757" spans="1:13" ht="24.75" customHeight="1">
      <c r="A757" s="477" t="s">
        <v>11</v>
      </c>
      <c r="B757" s="477"/>
      <c r="C757" s="477"/>
      <c r="D757" s="477"/>
      <c r="E757" s="159">
        <f>SUM(E758:E776)</f>
        <v>15.830000000000002</v>
      </c>
      <c r="F757" s="159">
        <f>SUM(F758:F776)</f>
        <v>21.21</v>
      </c>
      <c r="G757" s="159">
        <f>SUM(G758:G776)</f>
        <v>84.6</v>
      </c>
      <c r="H757" s="215">
        <f>SUM(H758:H776)</f>
        <v>592.6100000000001</v>
      </c>
      <c r="I757" s="159">
        <f>SUM(I758:I776)</f>
        <v>17.61</v>
      </c>
      <c r="J757" s="159"/>
      <c r="K757" s="14"/>
      <c r="L757" s="35" t="s">
        <v>86</v>
      </c>
      <c r="M757" s="102">
        <f>B817</f>
        <v>20</v>
      </c>
    </row>
    <row r="758" spans="1:13" ht="24.75" customHeight="1">
      <c r="A758" s="461" t="s">
        <v>334</v>
      </c>
      <c r="B758" s="461"/>
      <c r="C758" s="461"/>
      <c r="D758" s="151">
        <v>250</v>
      </c>
      <c r="E758" s="145">
        <v>4.9</v>
      </c>
      <c r="F758" s="145">
        <v>5.7</v>
      </c>
      <c r="G758" s="145">
        <v>19.8</v>
      </c>
      <c r="H758" s="152">
        <f>E758*4+F758*9+G758*4</f>
        <v>150.10000000000002</v>
      </c>
      <c r="I758" s="306">
        <v>0.64</v>
      </c>
      <c r="J758" s="306" t="s">
        <v>335</v>
      </c>
      <c r="K758" s="14"/>
      <c r="L758" s="35" t="s">
        <v>87</v>
      </c>
      <c r="M758" s="102">
        <f>B762+B772+B818+B844</f>
        <v>39</v>
      </c>
    </row>
    <row r="759" spans="1:12" ht="24.75" customHeight="1">
      <c r="A759" s="184" t="s">
        <v>149</v>
      </c>
      <c r="B759" s="142">
        <v>125</v>
      </c>
      <c r="C759" s="142">
        <v>125</v>
      </c>
      <c r="D759" s="145"/>
      <c r="E759" s="152"/>
      <c r="F759" s="152"/>
      <c r="G759" s="152"/>
      <c r="H759" s="152"/>
      <c r="I759" s="306"/>
      <c r="J759" s="306"/>
      <c r="K759" s="10"/>
      <c r="L759" s="240" t="s">
        <v>207</v>
      </c>
    </row>
    <row r="760" spans="1:24" ht="24.75" customHeight="1">
      <c r="A760" s="184" t="s">
        <v>110</v>
      </c>
      <c r="B760" s="142">
        <v>105</v>
      </c>
      <c r="C760" s="142">
        <v>105</v>
      </c>
      <c r="D760" s="145"/>
      <c r="E760" s="152"/>
      <c r="F760" s="152"/>
      <c r="G760" s="152"/>
      <c r="H760" s="152"/>
      <c r="I760" s="306"/>
      <c r="J760" s="306"/>
      <c r="K760" s="1"/>
      <c r="L760" s="35" t="s">
        <v>128</v>
      </c>
      <c r="M760" s="102">
        <f>B771</f>
        <v>2.5</v>
      </c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</row>
    <row r="761" spans="1:13" ht="24.75" customHeight="1">
      <c r="A761" s="184" t="s">
        <v>107</v>
      </c>
      <c r="B761" s="142">
        <v>20</v>
      </c>
      <c r="C761" s="142">
        <v>20</v>
      </c>
      <c r="D761" s="145"/>
      <c r="E761" s="145"/>
      <c r="F761" s="152"/>
      <c r="G761" s="152"/>
      <c r="H761" s="152"/>
      <c r="I761" s="306"/>
      <c r="J761" s="306"/>
      <c r="K761" s="14"/>
      <c r="L761" s="35" t="s">
        <v>88</v>
      </c>
      <c r="M761" s="102"/>
    </row>
    <row r="762" spans="1:13" ht="24.75" customHeight="1">
      <c r="A762" s="184" t="s">
        <v>12</v>
      </c>
      <c r="B762" s="142">
        <v>2</v>
      </c>
      <c r="C762" s="142">
        <v>2</v>
      </c>
      <c r="D762" s="145"/>
      <c r="E762" s="152"/>
      <c r="F762" s="152"/>
      <c r="G762" s="152"/>
      <c r="H762" s="152"/>
      <c r="I762" s="306"/>
      <c r="J762" s="306"/>
      <c r="K762" s="14"/>
      <c r="L762" s="35" t="s">
        <v>137</v>
      </c>
      <c r="M762" s="102">
        <f>B797+B832</f>
        <v>186.44</v>
      </c>
    </row>
    <row r="763" spans="1:12" ht="24.75" customHeight="1">
      <c r="A763" s="139" t="s">
        <v>27</v>
      </c>
      <c r="B763" s="153">
        <v>2</v>
      </c>
      <c r="C763" s="153">
        <v>2</v>
      </c>
      <c r="D763" s="145"/>
      <c r="E763" s="145"/>
      <c r="F763" s="161"/>
      <c r="G763" s="161"/>
      <c r="H763" s="142"/>
      <c r="I763" s="306"/>
      <c r="J763" s="306"/>
      <c r="K763" s="14"/>
      <c r="L763" s="240" t="s">
        <v>208</v>
      </c>
    </row>
    <row r="764" spans="1:13" ht="24.75" customHeight="1">
      <c r="A764" s="468" t="s">
        <v>387</v>
      </c>
      <c r="B764" s="468"/>
      <c r="C764" s="468"/>
      <c r="D764" s="80" t="s">
        <v>386</v>
      </c>
      <c r="E764" s="145">
        <v>3</v>
      </c>
      <c r="F764" s="145">
        <v>7</v>
      </c>
      <c r="G764" s="145">
        <v>9.2</v>
      </c>
      <c r="H764" s="152">
        <f>E764*4+F764*9+G764*4</f>
        <v>111.8</v>
      </c>
      <c r="I764" s="306">
        <v>3.7</v>
      </c>
      <c r="J764" s="306" t="s">
        <v>388</v>
      </c>
      <c r="K764" s="10"/>
      <c r="L764" s="35" t="s">
        <v>89</v>
      </c>
      <c r="M764" s="102">
        <f>B786</f>
        <v>54</v>
      </c>
    </row>
    <row r="765" spans="1:13" ht="24.75" customHeight="1">
      <c r="A765" s="115" t="s">
        <v>384</v>
      </c>
      <c r="B765" s="16">
        <v>20</v>
      </c>
      <c r="C765" s="16">
        <v>20</v>
      </c>
      <c r="D765" s="16"/>
      <c r="E765" s="50"/>
      <c r="F765" s="50"/>
      <c r="G765" s="50"/>
      <c r="H765" s="42"/>
      <c r="I765" s="307"/>
      <c r="J765" s="306"/>
      <c r="K765" s="14"/>
      <c r="L765" s="35" t="s">
        <v>130</v>
      </c>
      <c r="M765" s="102">
        <f>B766</f>
        <v>10.5</v>
      </c>
    </row>
    <row r="766" spans="1:24" ht="24.75" customHeight="1">
      <c r="A766" s="115" t="s">
        <v>332</v>
      </c>
      <c r="B766" s="16">
        <v>10.5</v>
      </c>
      <c r="C766" s="16">
        <v>10</v>
      </c>
      <c r="D766" s="16"/>
      <c r="E766" s="50"/>
      <c r="F766" s="50"/>
      <c r="G766" s="50"/>
      <c r="H766" s="42"/>
      <c r="I766" s="307"/>
      <c r="J766" s="306"/>
      <c r="K766" s="14"/>
      <c r="L766" s="36" t="s">
        <v>131</v>
      </c>
      <c r="M766" s="102">
        <f>B759+B773</f>
        <v>255</v>
      </c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</row>
    <row r="767" spans="1:35" s="3" customFormat="1" ht="43.5" customHeight="1">
      <c r="A767" s="115" t="s">
        <v>385</v>
      </c>
      <c r="B767" s="50">
        <f>1.02*C767</f>
        <v>15.3</v>
      </c>
      <c r="C767" s="16">
        <v>15</v>
      </c>
      <c r="D767" s="16"/>
      <c r="E767" s="50"/>
      <c r="F767" s="50"/>
      <c r="G767" s="50"/>
      <c r="H767" s="42"/>
      <c r="I767" s="307"/>
      <c r="J767" s="306"/>
      <c r="K767" s="14"/>
      <c r="L767" s="39" t="s">
        <v>331</v>
      </c>
      <c r="M767" s="106">
        <f>B848</f>
        <v>154</v>
      </c>
      <c r="N767" s="210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1:24" ht="24.75" customHeight="1">
      <c r="A768" s="172" t="s">
        <v>227</v>
      </c>
      <c r="B768" s="50">
        <f>1.18*C768</f>
        <v>17.7</v>
      </c>
      <c r="C768" s="16">
        <v>15</v>
      </c>
      <c r="D768" s="16"/>
      <c r="E768" s="50"/>
      <c r="F768" s="50"/>
      <c r="G768" s="50"/>
      <c r="H768" s="42"/>
      <c r="I768" s="307"/>
      <c r="J768" s="306"/>
      <c r="K768" s="14"/>
      <c r="L768" s="35" t="s">
        <v>90</v>
      </c>
      <c r="M768" s="102">
        <f>D769</f>
        <v>100</v>
      </c>
      <c r="N768" s="210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</row>
    <row r="769" spans="1:13" ht="108" customHeight="1">
      <c r="A769" s="408" t="s">
        <v>536</v>
      </c>
      <c r="B769" s="112">
        <v>100</v>
      </c>
      <c r="C769" s="112">
        <v>100</v>
      </c>
      <c r="D769" s="43">
        <v>100</v>
      </c>
      <c r="E769" s="54">
        <v>3.2</v>
      </c>
      <c r="F769" s="54">
        <v>5.4</v>
      </c>
      <c r="G769" s="54">
        <v>10.5</v>
      </c>
      <c r="H769" s="45">
        <f>E769*4+F769*9+G769*4</f>
        <v>103.4</v>
      </c>
      <c r="I769" s="307">
        <v>0.49</v>
      </c>
      <c r="J769" s="306"/>
      <c r="K769" s="14"/>
      <c r="L769" s="35" t="s">
        <v>91</v>
      </c>
      <c r="M769" s="102">
        <f>B800</f>
        <v>10</v>
      </c>
    </row>
    <row r="770" spans="1:13" ht="24.75" customHeight="1">
      <c r="A770" s="468" t="s">
        <v>182</v>
      </c>
      <c r="B770" s="468"/>
      <c r="C770" s="468"/>
      <c r="D770" s="41">
        <v>200</v>
      </c>
      <c r="E770" s="145">
        <v>3.1</v>
      </c>
      <c r="F770" s="145">
        <v>2.9</v>
      </c>
      <c r="G770" s="145">
        <v>21.4</v>
      </c>
      <c r="H770" s="152">
        <f>E770*4+F770*9+G770*4</f>
        <v>124.1</v>
      </c>
      <c r="I770" s="306">
        <v>0.78</v>
      </c>
      <c r="J770" s="306" t="s">
        <v>365</v>
      </c>
      <c r="K770" s="14"/>
      <c r="L770" s="35" t="s">
        <v>134</v>
      </c>
      <c r="M770" s="102"/>
    </row>
    <row r="771" spans="1:13" ht="24.75" customHeight="1">
      <c r="A771" s="115" t="s">
        <v>104</v>
      </c>
      <c r="B771" s="16">
        <v>2.5</v>
      </c>
      <c r="C771" s="16">
        <v>2.5</v>
      </c>
      <c r="D771" s="16"/>
      <c r="E771" s="50"/>
      <c r="F771" s="50"/>
      <c r="G771" s="50"/>
      <c r="H771" s="42"/>
      <c r="I771" s="307"/>
      <c r="J771" s="306"/>
      <c r="K771" s="14"/>
      <c r="L771" s="35" t="s">
        <v>92</v>
      </c>
      <c r="M771" s="102">
        <f>B763+B798+B815+B793+B837</f>
        <v>27.5</v>
      </c>
    </row>
    <row r="772" spans="1:13" ht="24.75" customHeight="1">
      <c r="A772" s="184" t="s">
        <v>12</v>
      </c>
      <c r="B772" s="153">
        <v>15</v>
      </c>
      <c r="C772" s="153">
        <v>15</v>
      </c>
      <c r="D772" s="153"/>
      <c r="E772" s="161"/>
      <c r="F772" s="161"/>
      <c r="G772" s="161"/>
      <c r="H772" s="142"/>
      <c r="I772" s="306"/>
      <c r="J772" s="306"/>
      <c r="K772" s="14"/>
      <c r="L772" s="35" t="s">
        <v>65</v>
      </c>
      <c r="M772" s="102">
        <f>B783</f>
        <v>4</v>
      </c>
    </row>
    <row r="773" spans="1:24" s="165" customFormat="1" ht="24.75" customHeight="1" thickBot="1">
      <c r="A773" s="182" t="s">
        <v>149</v>
      </c>
      <c r="B773" s="16">
        <v>130</v>
      </c>
      <c r="C773" s="16">
        <v>130</v>
      </c>
      <c r="D773" s="16"/>
      <c r="E773" s="50"/>
      <c r="F773" s="50"/>
      <c r="G773" s="50"/>
      <c r="H773" s="50"/>
      <c r="I773" s="50"/>
      <c r="J773" s="306"/>
      <c r="K773" s="131"/>
      <c r="L773" s="37" t="s">
        <v>93</v>
      </c>
      <c r="M773" s="10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</row>
    <row r="774" spans="1:13" ht="31.5" customHeight="1">
      <c r="A774" s="461" t="s">
        <v>258</v>
      </c>
      <c r="B774" s="461"/>
      <c r="C774" s="461"/>
      <c r="D774" s="151">
        <v>15</v>
      </c>
      <c r="E774" s="145">
        <v>1.23</v>
      </c>
      <c r="F774" s="145">
        <v>0.21000000000000002</v>
      </c>
      <c r="G774" s="145">
        <v>5.7</v>
      </c>
      <c r="H774" s="152">
        <v>29.610000000000003</v>
      </c>
      <c r="I774" s="306">
        <v>0</v>
      </c>
      <c r="J774" s="306"/>
      <c r="K774" s="14"/>
      <c r="L774" s="241" t="s">
        <v>209</v>
      </c>
      <c r="M774" s="204"/>
    </row>
    <row r="775" spans="1:13" ht="24.75" customHeight="1">
      <c r="A775" s="477" t="s">
        <v>151</v>
      </c>
      <c r="B775" s="477"/>
      <c r="C775" s="477"/>
      <c r="D775" s="477"/>
      <c r="E775" s="477"/>
      <c r="F775" s="477"/>
      <c r="G775" s="477"/>
      <c r="H775" s="477"/>
      <c r="I775" s="477"/>
      <c r="J775" s="477"/>
      <c r="K775" s="14"/>
      <c r="L775" s="204" t="s">
        <v>217</v>
      </c>
      <c r="M775" s="243"/>
    </row>
    <row r="776" spans="1:11" ht="24.75" customHeight="1">
      <c r="A776" s="472" t="s">
        <v>345</v>
      </c>
      <c r="B776" s="472"/>
      <c r="C776" s="472"/>
      <c r="D776" s="143">
        <v>180</v>
      </c>
      <c r="E776" s="145">
        <v>0.4</v>
      </c>
      <c r="F776" s="144">
        <v>0</v>
      </c>
      <c r="G776" s="145">
        <v>18</v>
      </c>
      <c r="H776" s="152">
        <f>E776*4+F776*9+G776*4</f>
        <v>73.6</v>
      </c>
      <c r="I776" s="306">
        <v>12</v>
      </c>
      <c r="J776" s="306"/>
      <c r="K776" s="14"/>
    </row>
    <row r="777" spans="1:11" ht="24.75" customHeight="1">
      <c r="A777" s="477" t="s">
        <v>18</v>
      </c>
      <c r="B777" s="477"/>
      <c r="C777" s="477"/>
      <c r="D777" s="477"/>
      <c r="E777" s="159">
        <f>E778+E784+E812+E816+E819+E820+E795</f>
        <v>28.82</v>
      </c>
      <c r="F777" s="159">
        <f>F778+F784+F812+F816+F819+F820+F795</f>
        <v>26.34</v>
      </c>
      <c r="G777" s="159">
        <f>G778+G784+G812+G816+G819+G820+G795</f>
        <v>108.78</v>
      </c>
      <c r="H777" s="215">
        <f>H778+H784+H812+H816+H819+H820+H795</f>
        <v>786.76</v>
      </c>
      <c r="I777" s="159">
        <f>I778+I784+I812+I816+I819+I820+I795</f>
        <v>22.627285714285712</v>
      </c>
      <c r="J777" s="159"/>
      <c r="K777" s="14"/>
    </row>
    <row r="778" spans="1:11" ht="24.75" customHeight="1">
      <c r="A778" s="468" t="s">
        <v>446</v>
      </c>
      <c r="B778" s="468"/>
      <c r="C778" s="468"/>
      <c r="D778" s="41">
        <v>70</v>
      </c>
      <c r="E778" s="145">
        <v>1.8</v>
      </c>
      <c r="F778" s="145">
        <v>4.1</v>
      </c>
      <c r="G778" s="145">
        <v>3.8</v>
      </c>
      <c r="H778" s="152">
        <f>E778*4+F778*9+G778*4</f>
        <v>59.3</v>
      </c>
      <c r="I778" s="306">
        <v>20</v>
      </c>
      <c r="J778" s="306" t="s">
        <v>348</v>
      </c>
      <c r="K778" s="14"/>
    </row>
    <row r="779" spans="1:35" s="2" customFormat="1" ht="24.75" customHeight="1">
      <c r="A779" s="184" t="s">
        <v>122</v>
      </c>
      <c r="B779" s="187">
        <f>C779*1.02</f>
        <v>40.8</v>
      </c>
      <c r="C779" s="187">
        <v>40</v>
      </c>
      <c r="D779" s="183"/>
      <c r="E779" s="188"/>
      <c r="F779" s="188"/>
      <c r="G779" s="188"/>
      <c r="H779" s="187"/>
      <c r="I779" s="317"/>
      <c r="J779" s="317"/>
      <c r="K779" s="1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</row>
    <row r="780" spans="1:35" s="209" customFormat="1" ht="24.75" customHeight="1">
      <c r="A780" s="184" t="s">
        <v>227</v>
      </c>
      <c r="B780" s="187">
        <f>C780*1.18</f>
        <v>47.199999999999996</v>
      </c>
      <c r="C780" s="187">
        <v>40</v>
      </c>
      <c r="D780" s="183"/>
      <c r="E780" s="188"/>
      <c r="F780" s="188"/>
      <c r="G780" s="188"/>
      <c r="H780" s="187"/>
      <c r="I780" s="317"/>
      <c r="J780" s="317"/>
      <c r="K780" s="1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210"/>
      <c r="Z780" s="210"/>
      <c r="AA780" s="210"/>
      <c r="AB780" s="210"/>
      <c r="AC780" s="210"/>
      <c r="AD780" s="210"/>
      <c r="AE780" s="210"/>
      <c r="AF780" s="210"/>
      <c r="AG780" s="210"/>
      <c r="AH780" s="210"/>
      <c r="AI780" s="210"/>
    </row>
    <row r="781" spans="1:35" s="209" customFormat="1" ht="24.75" customHeight="1">
      <c r="A781" s="172" t="s">
        <v>253</v>
      </c>
      <c r="B781" s="42">
        <f>C781*1.54</f>
        <v>38.5</v>
      </c>
      <c r="C781" s="42">
        <v>25</v>
      </c>
      <c r="D781" s="42"/>
      <c r="E781" s="50"/>
      <c r="F781" s="50"/>
      <c r="G781" s="50"/>
      <c r="H781" s="42"/>
      <c r="I781" s="307"/>
      <c r="J781" s="306"/>
      <c r="K781" s="1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210"/>
      <c r="Z781" s="210"/>
      <c r="AA781" s="210"/>
      <c r="AB781" s="210"/>
      <c r="AC781" s="210"/>
      <c r="AD781" s="210"/>
      <c r="AE781" s="210"/>
      <c r="AF781" s="210"/>
      <c r="AG781" s="210"/>
      <c r="AH781" s="210"/>
      <c r="AI781" s="210"/>
    </row>
    <row r="782" spans="1:11" ht="24.75" customHeight="1">
      <c r="A782" s="172" t="s">
        <v>70</v>
      </c>
      <c r="B782" s="42">
        <f>C782*1.35</f>
        <v>4.050000000000001</v>
      </c>
      <c r="C782" s="42">
        <v>3</v>
      </c>
      <c r="D782" s="42"/>
      <c r="E782" s="50"/>
      <c r="F782" s="50"/>
      <c r="G782" s="50"/>
      <c r="H782" s="42"/>
      <c r="I782" s="307"/>
      <c r="J782" s="306"/>
      <c r="K782" s="14"/>
    </row>
    <row r="783" spans="1:11" ht="24.75" customHeight="1">
      <c r="A783" s="115" t="s">
        <v>20</v>
      </c>
      <c r="B783" s="42">
        <v>4</v>
      </c>
      <c r="C783" s="42">
        <v>4</v>
      </c>
      <c r="D783" s="42"/>
      <c r="E783" s="50"/>
      <c r="F783" s="50"/>
      <c r="G783" s="50"/>
      <c r="H783" s="42"/>
      <c r="I783" s="307"/>
      <c r="J783" s="306"/>
      <c r="K783" s="14"/>
    </row>
    <row r="784" spans="1:11" ht="24.75" customHeight="1">
      <c r="A784" s="468" t="s">
        <v>483</v>
      </c>
      <c r="B784" s="468"/>
      <c r="C784" s="468"/>
      <c r="D784" s="41" t="s">
        <v>248</v>
      </c>
      <c r="E784" s="145">
        <v>4.2</v>
      </c>
      <c r="F784" s="145">
        <v>6.9</v>
      </c>
      <c r="G784" s="145">
        <v>13.5</v>
      </c>
      <c r="H784" s="45">
        <f>E784*4+F784*9+G784*4</f>
        <v>132.9</v>
      </c>
      <c r="I784" s="307">
        <v>2.5642857142857145</v>
      </c>
      <c r="J784" s="363" t="s">
        <v>482</v>
      </c>
      <c r="K784" s="14"/>
    </row>
    <row r="785" spans="1:11" ht="24.75" customHeight="1">
      <c r="A785" s="234" t="s">
        <v>204</v>
      </c>
      <c r="B785" s="247">
        <f>C785*1.82</f>
        <v>72.072</v>
      </c>
      <c r="C785" s="42">
        <v>39.6</v>
      </c>
      <c r="D785" s="42"/>
      <c r="E785" s="142"/>
      <c r="F785" s="161"/>
      <c r="G785" s="161"/>
      <c r="H785" s="142"/>
      <c r="I785" s="306"/>
      <c r="J785" s="306"/>
      <c r="K785" s="14"/>
    </row>
    <row r="786" spans="1:11" ht="24.75" customHeight="1">
      <c r="A786" s="234" t="s">
        <v>164</v>
      </c>
      <c r="B786" s="247">
        <f>C786*1.5</f>
        <v>54</v>
      </c>
      <c r="C786" s="42">
        <v>36</v>
      </c>
      <c r="D786" s="42"/>
      <c r="E786" s="50"/>
      <c r="F786" s="50"/>
      <c r="G786" s="50"/>
      <c r="H786" s="42"/>
      <c r="I786" s="307"/>
      <c r="J786" s="306"/>
      <c r="K786" s="14"/>
    </row>
    <row r="787" spans="1:11" ht="24.75" customHeight="1">
      <c r="A787" s="203" t="s">
        <v>165</v>
      </c>
      <c r="B787" s="247">
        <f>C787*1.82</f>
        <v>65.52</v>
      </c>
      <c r="C787" s="42">
        <v>36</v>
      </c>
      <c r="D787" s="42"/>
      <c r="E787" s="50"/>
      <c r="F787" s="50"/>
      <c r="G787" s="50"/>
      <c r="H787" s="42"/>
      <c r="I787" s="307"/>
      <c r="J787" s="306"/>
      <c r="K787" s="14"/>
    </row>
    <row r="788" spans="1:11" ht="24.75" customHeight="1">
      <c r="A788" s="184" t="s">
        <v>21</v>
      </c>
      <c r="B788" s="187">
        <f>C788*1.33</f>
        <v>113.05000000000001</v>
      </c>
      <c r="C788" s="183">
        <v>85</v>
      </c>
      <c r="D788" s="187"/>
      <c r="E788" s="188"/>
      <c r="F788" s="188"/>
      <c r="G788" s="188"/>
      <c r="H788" s="187"/>
      <c r="I788" s="317"/>
      <c r="J788" s="317"/>
      <c r="K788" s="11"/>
    </row>
    <row r="789" spans="1:11" ht="24.75" customHeight="1">
      <c r="A789" s="123" t="s">
        <v>22</v>
      </c>
      <c r="B789" s="94">
        <f>C789*1.43</f>
        <v>121.55</v>
      </c>
      <c r="C789" s="183">
        <v>85</v>
      </c>
      <c r="D789" s="94"/>
      <c r="E789" s="140"/>
      <c r="F789" s="140"/>
      <c r="G789" s="140"/>
      <c r="H789" s="94"/>
      <c r="I789" s="316"/>
      <c r="J789" s="317"/>
      <c r="K789" s="86"/>
    </row>
    <row r="790" spans="1:24" ht="24.75" customHeight="1">
      <c r="A790" s="123" t="s">
        <v>23</v>
      </c>
      <c r="B790" s="94">
        <f>C790*1.54</f>
        <v>130.9</v>
      </c>
      <c r="C790" s="183">
        <v>85</v>
      </c>
      <c r="D790" s="94"/>
      <c r="E790" s="140"/>
      <c r="F790" s="140"/>
      <c r="G790" s="140"/>
      <c r="H790" s="94"/>
      <c r="I790" s="316"/>
      <c r="J790" s="317"/>
      <c r="K790" s="1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11" ht="24.75" customHeight="1">
      <c r="A791" s="123" t="s">
        <v>24</v>
      </c>
      <c r="B791" s="94">
        <f>C791*1.67</f>
        <v>141.95</v>
      </c>
      <c r="C791" s="183">
        <v>85</v>
      </c>
      <c r="D791" s="94"/>
      <c r="E791" s="140"/>
      <c r="F791" s="140"/>
      <c r="G791" s="140"/>
      <c r="H791" s="94"/>
      <c r="I791" s="316"/>
      <c r="J791" s="317"/>
      <c r="K791" s="14"/>
    </row>
    <row r="792" spans="1:11" ht="24.75" customHeight="1">
      <c r="A792" s="115" t="s">
        <v>26</v>
      </c>
      <c r="B792" s="94">
        <f>C792*1.19</f>
        <v>10.709999999999999</v>
      </c>
      <c r="C792" s="16">
        <v>9</v>
      </c>
      <c r="D792" s="94"/>
      <c r="E792" s="50"/>
      <c r="F792" s="50"/>
      <c r="G792" s="50"/>
      <c r="H792" s="42"/>
      <c r="I792" s="307"/>
      <c r="J792" s="306"/>
      <c r="K792" s="14"/>
    </row>
    <row r="793" spans="1:24" ht="24.75" customHeight="1">
      <c r="A793" s="115" t="s">
        <v>27</v>
      </c>
      <c r="B793" s="16">
        <v>6</v>
      </c>
      <c r="C793" s="16">
        <v>6</v>
      </c>
      <c r="D793" s="94"/>
      <c r="E793" s="50"/>
      <c r="F793" s="50"/>
      <c r="G793" s="50"/>
      <c r="H793" s="42"/>
      <c r="I793" s="307"/>
      <c r="J793" s="306"/>
      <c r="K793" s="14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</row>
    <row r="794" spans="1:24" ht="24.75" customHeight="1">
      <c r="A794" s="123" t="s">
        <v>70</v>
      </c>
      <c r="B794" s="94">
        <v>3</v>
      </c>
      <c r="C794" s="16">
        <v>2</v>
      </c>
      <c r="D794" s="94"/>
      <c r="E794" s="50"/>
      <c r="F794" s="50"/>
      <c r="G794" s="50"/>
      <c r="H794" s="42"/>
      <c r="I794" s="307"/>
      <c r="J794" s="306"/>
      <c r="K794" s="14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24.75" customHeight="1">
      <c r="A795" s="468" t="s">
        <v>256</v>
      </c>
      <c r="B795" s="468"/>
      <c r="C795" s="468"/>
      <c r="D795" s="41">
        <v>90</v>
      </c>
      <c r="E795" s="44">
        <v>10.2</v>
      </c>
      <c r="F795" s="44">
        <v>10.5</v>
      </c>
      <c r="G795" s="44">
        <v>1.5</v>
      </c>
      <c r="H795" s="45">
        <f>E795*4+F795*9+G795*4</f>
        <v>141.3</v>
      </c>
      <c r="I795" s="307">
        <v>0.063</v>
      </c>
      <c r="J795" s="306" t="s">
        <v>465</v>
      </c>
      <c r="K795" s="14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24.75" customHeight="1">
      <c r="A796" s="117" t="s">
        <v>62</v>
      </c>
      <c r="B796" s="23">
        <f>C796*1.36</f>
        <v>107.44000000000001</v>
      </c>
      <c r="C796" s="142">
        <v>79</v>
      </c>
      <c r="D796" s="43"/>
      <c r="E796" s="54"/>
      <c r="F796" s="54"/>
      <c r="G796" s="54"/>
      <c r="H796" s="97"/>
      <c r="I796" s="313"/>
      <c r="J796" s="306"/>
      <c r="K796" s="14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11" ht="24.75" customHeight="1">
      <c r="A797" s="117" t="s">
        <v>74</v>
      </c>
      <c r="B797" s="218">
        <f>C797*1.18</f>
        <v>93.22</v>
      </c>
      <c r="C797" s="142">
        <v>79</v>
      </c>
      <c r="D797" s="43"/>
      <c r="E797" s="50"/>
      <c r="F797" s="50"/>
      <c r="G797" s="50"/>
      <c r="H797" s="42"/>
      <c r="I797" s="307"/>
      <c r="J797" s="306"/>
      <c r="K797" s="131"/>
    </row>
    <row r="798" spans="1:11" ht="24.75" customHeight="1">
      <c r="A798" s="123" t="s">
        <v>27</v>
      </c>
      <c r="B798" s="112">
        <v>10</v>
      </c>
      <c r="C798" s="112">
        <v>10</v>
      </c>
      <c r="D798" s="43"/>
      <c r="E798" s="112"/>
      <c r="F798" s="112"/>
      <c r="G798" s="112"/>
      <c r="H798" s="94"/>
      <c r="I798" s="316"/>
      <c r="J798" s="317"/>
      <c r="K798" s="131"/>
    </row>
    <row r="799" spans="1:11" ht="24.75" customHeight="1">
      <c r="A799" s="121" t="s">
        <v>169</v>
      </c>
      <c r="B799" s="112"/>
      <c r="C799" s="43">
        <v>40</v>
      </c>
      <c r="D799" s="112"/>
      <c r="E799" s="112"/>
      <c r="F799" s="140"/>
      <c r="G799" s="140"/>
      <c r="H799" s="94"/>
      <c r="I799" s="316"/>
      <c r="J799" s="317"/>
      <c r="K799" s="131"/>
    </row>
    <row r="800" spans="1:11" ht="24.75" customHeight="1">
      <c r="A800" s="115" t="s">
        <v>95</v>
      </c>
      <c r="B800" s="94">
        <v>10</v>
      </c>
      <c r="C800" s="94">
        <v>10</v>
      </c>
      <c r="D800" s="112"/>
      <c r="E800" s="112"/>
      <c r="F800" s="140"/>
      <c r="G800" s="140"/>
      <c r="H800" s="94"/>
      <c r="I800" s="316"/>
      <c r="J800" s="317"/>
      <c r="K800" s="134"/>
    </row>
    <row r="801" spans="1:11" ht="24.75" customHeight="1">
      <c r="A801" s="123" t="s">
        <v>28</v>
      </c>
      <c r="B801" s="94">
        <v>2</v>
      </c>
      <c r="C801" s="94">
        <v>2</v>
      </c>
      <c r="D801" s="140"/>
      <c r="E801" s="112"/>
      <c r="F801" s="112"/>
      <c r="G801" s="112"/>
      <c r="H801" s="94"/>
      <c r="I801" s="316"/>
      <c r="J801" s="317"/>
      <c r="K801" s="135"/>
    </row>
    <row r="802" spans="1:11" ht="24.75" customHeight="1">
      <c r="A802" s="123" t="s">
        <v>110</v>
      </c>
      <c r="B802" s="94">
        <v>30</v>
      </c>
      <c r="C802" s="94">
        <v>30</v>
      </c>
      <c r="D802" s="112"/>
      <c r="E802" s="112"/>
      <c r="F802" s="140"/>
      <c r="G802" s="140"/>
      <c r="H802" s="94"/>
      <c r="I802" s="316"/>
      <c r="J802" s="317"/>
      <c r="K802" s="136"/>
    </row>
    <row r="803" spans="1:35" s="3" customFormat="1" ht="24.75" customHeight="1">
      <c r="A803" s="494" t="s">
        <v>259</v>
      </c>
      <c r="B803" s="494"/>
      <c r="C803" s="494"/>
      <c r="D803" s="494"/>
      <c r="E803" s="494"/>
      <c r="F803" s="494"/>
      <c r="G803" s="494"/>
      <c r="H803" s="494"/>
      <c r="I803" s="494"/>
      <c r="J803" s="494"/>
      <c r="K803" s="136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1:24" ht="24.75" customHeight="1">
      <c r="A804" s="468" t="s">
        <v>260</v>
      </c>
      <c r="B804" s="468"/>
      <c r="C804" s="468"/>
      <c r="D804" s="41">
        <v>90</v>
      </c>
      <c r="E804" s="44">
        <v>9.9</v>
      </c>
      <c r="F804" s="44">
        <v>8.4375</v>
      </c>
      <c r="G804" s="44">
        <v>1.2375</v>
      </c>
      <c r="H804" s="45">
        <f>E804*4+F804*9+G804*4</f>
        <v>120.4875</v>
      </c>
      <c r="I804" s="307">
        <v>2.952</v>
      </c>
      <c r="J804" s="306" t="s">
        <v>521</v>
      </c>
      <c r="K804" s="137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</row>
    <row r="805" spans="1:11" ht="24.75" customHeight="1">
      <c r="A805" s="195" t="s">
        <v>261</v>
      </c>
      <c r="B805" s="197">
        <v>87</v>
      </c>
      <c r="C805" s="94">
        <v>72</v>
      </c>
      <c r="D805" s="94"/>
      <c r="E805" s="112"/>
      <c r="F805" s="112"/>
      <c r="G805" s="112"/>
      <c r="H805" s="94"/>
      <c r="I805" s="316"/>
      <c r="J805" s="317"/>
      <c r="K805" s="28"/>
    </row>
    <row r="806" spans="1:35" s="9" customFormat="1" ht="24.75" customHeight="1">
      <c r="A806" s="123" t="s">
        <v>28</v>
      </c>
      <c r="B806" s="112">
        <v>4</v>
      </c>
      <c r="C806" s="112">
        <v>4</v>
      </c>
      <c r="D806" s="140"/>
      <c r="E806" s="44"/>
      <c r="F806" s="44"/>
      <c r="G806" s="44"/>
      <c r="H806" s="45"/>
      <c r="I806" s="307"/>
      <c r="J806" s="306"/>
      <c r="K806" s="69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  <c r="AI806" s="73"/>
    </row>
    <row r="807" spans="1:35" s="5" customFormat="1" ht="24.75" customHeight="1">
      <c r="A807" s="123" t="s">
        <v>27</v>
      </c>
      <c r="B807" s="112">
        <v>10</v>
      </c>
      <c r="C807" s="112">
        <v>10</v>
      </c>
      <c r="D807" s="94"/>
      <c r="E807" s="112"/>
      <c r="F807" s="112"/>
      <c r="G807" s="112"/>
      <c r="H807" s="94"/>
      <c r="I807" s="316"/>
      <c r="J807" s="317"/>
      <c r="K807" s="84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</row>
    <row r="808" spans="1:35" s="5" customFormat="1" ht="24.75" customHeight="1">
      <c r="A808" s="121" t="s">
        <v>169</v>
      </c>
      <c r="B808" s="112"/>
      <c r="C808" s="43">
        <v>40</v>
      </c>
      <c r="D808" s="112"/>
      <c r="E808" s="112"/>
      <c r="F808" s="140"/>
      <c r="G808" s="140"/>
      <c r="H808" s="94"/>
      <c r="I808" s="316"/>
      <c r="J808" s="317"/>
      <c r="K808" s="13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</row>
    <row r="809" spans="1:35" s="5" customFormat="1" ht="24.75" customHeight="1">
      <c r="A809" s="115" t="s">
        <v>95</v>
      </c>
      <c r="B809" s="94">
        <v>10</v>
      </c>
      <c r="C809" s="94">
        <v>10</v>
      </c>
      <c r="D809" s="112"/>
      <c r="E809" s="112"/>
      <c r="F809" s="140"/>
      <c r="G809" s="140"/>
      <c r="H809" s="94"/>
      <c r="I809" s="316"/>
      <c r="J809" s="317"/>
      <c r="K809" s="14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</row>
    <row r="810" spans="1:24" ht="24.75" customHeight="1">
      <c r="A810" s="123" t="s">
        <v>28</v>
      </c>
      <c r="B810" s="94">
        <v>2</v>
      </c>
      <c r="C810" s="94">
        <v>2</v>
      </c>
      <c r="D810" s="140"/>
      <c r="E810" s="112"/>
      <c r="F810" s="112"/>
      <c r="G810" s="112"/>
      <c r="H810" s="94"/>
      <c r="I810" s="316"/>
      <c r="J810" s="317"/>
      <c r="K810" s="14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</row>
    <row r="811" spans="1:11" ht="24.75" customHeight="1">
      <c r="A811" s="123" t="s">
        <v>110</v>
      </c>
      <c r="B811" s="94">
        <v>30</v>
      </c>
      <c r="C811" s="94">
        <v>30</v>
      </c>
      <c r="D811" s="112"/>
      <c r="E811" s="112"/>
      <c r="F811" s="140"/>
      <c r="G811" s="140"/>
      <c r="H811" s="94"/>
      <c r="I811" s="316"/>
      <c r="J811" s="317"/>
      <c r="K811" s="14"/>
    </row>
    <row r="812" spans="1:11" ht="24.75" customHeight="1">
      <c r="A812" s="468" t="s">
        <v>339</v>
      </c>
      <c r="B812" s="468"/>
      <c r="C812" s="468"/>
      <c r="D812" s="41">
        <v>150</v>
      </c>
      <c r="E812" s="44">
        <v>3.6</v>
      </c>
      <c r="F812" s="44">
        <v>3.3</v>
      </c>
      <c r="G812" s="44">
        <v>25</v>
      </c>
      <c r="H812" s="45">
        <f>E812*4+F812*9+G812*4</f>
        <v>144.1</v>
      </c>
      <c r="I812" s="307">
        <v>0</v>
      </c>
      <c r="J812" s="306" t="s">
        <v>508</v>
      </c>
      <c r="K812" s="14"/>
    </row>
    <row r="813" spans="1:11" ht="24.75" customHeight="1">
      <c r="A813" s="115" t="s">
        <v>112</v>
      </c>
      <c r="B813" s="140">
        <v>37.5</v>
      </c>
      <c r="C813" s="140">
        <v>37.5</v>
      </c>
      <c r="D813" s="140"/>
      <c r="E813" s="112"/>
      <c r="F813" s="112"/>
      <c r="G813" s="112"/>
      <c r="H813" s="94"/>
      <c r="I813" s="316"/>
      <c r="J813" s="317"/>
      <c r="K813" s="14"/>
    </row>
    <row r="814" spans="1:11" ht="24.75" customHeight="1">
      <c r="A814" s="115" t="s">
        <v>340</v>
      </c>
      <c r="B814" s="94">
        <v>120</v>
      </c>
      <c r="C814" s="94">
        <v>120</v>
      </c>
      <c r="D814" s="94"/>
      <c r="E814" s="140"/>
      <c r="F814" s="112"/>
      <c r="G814" s="112"/>
      <c r="H814" s="94"/>
      <c r="I814" s="316"/>
      <c r="J814" s="317"/>
      <c r="K814" s="14"/>
    </row>
    <row r="815" spans="1:11" ht="24.75" customHeight="1">
      <c r="A815" s="184" t="s">
        <v>27</v>
      </c>
      <c r="B815" s="188">
        <v>3.5</v>
      </c>
      <c r="C815" s="188">
        <v>3.5</v>
      </c>
      <c r="D815" s="188"/>
      <c r="E815" s="183"/>
      <c r="F815" s="183"/>
      <c r="G815" s="183"/>
      <c r="H815" s="187"/>
      <c r="I815" s="317"/>
      <c r="J815" s="317"/>
      <c r="K815" s="14"/>
    </row>
    <row r="816" spans="1:11" ht="24.75" customHeight="1">
      <c r="A816" s="481" t="s">
        <v>166</v>
      </c>
      <c r="B816" s="481"/>
      <c r="C816" s="481"/>
      <c r="D816" s="95">
        <v>200</v>
      </c>
      <c r="E816" s="111">
        <v>0.3</v>
      </c>
      <c r="F816" s="111">
        <v>0</v>
      </c>
      <c r="G816" s="111">
        <v>22.6</v>
      </c>
      <c r="H816" s="45">
        <f>E816*4+F816*9+G816*4</f>
        <v>91.60000000000001</v>
      </c>
      <c r="I816" s="307">
        <v>0</v>
      </c>
      <c r="J816" s="306" t="s">
        <v>379</v>
      </c>
      <c r="K816" s="14"/>
    </row>
    <row r="817" spans="1:35" ht="24.75" customHeight="1">
      <c r="A817" s="202" t="s">
        <v>67</v>
      </c>
      <c r="B817" s="199">
        <v>20</v>
      </c>
      <c r="C817" s="199">
        <v>20</v>
      </c>
      <c r="D817" s="199"/>
      <c r="E817" s="200"/>
      <c r="F817" s="200"/>
      <c r="G817" s="200"/>
      <c r="H817" s="201"/>
      <c r="I817" s="309"/>
      <c r="J817" s="317"/>
      <c r="L817" s="25"/>
      <c r="M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</row>
    <row r="818" spans="1:10" ht="24.75" customHeight="1">
      <c r="A818" s="139" t="s">
        <v>161</v>
      </c>
      <c r="B818" s="183">
        <v>10</v>
      </c>
      <c r="C818" s="183">
        <v>10</v>
      </c>
      <c r="D818" s="183"/>
      <c r="E818" s="188"/>
      <c r="F818" s="188"/>
      <c r="G818" s="188"/>
      <c r="H818" s="188"/>
      <c r="I818" s="188"/>
      <c r="J818" s="317"/>
    </row>
    <row r="819" spans="1:10" ht="24.75" customHeight="1">
      <c r="A819" s="461" t="s">
        <v>258</v>
      </c>
      <c r="B819" s="461"/>
      <c r="C819" s="461"/>
      <c r="D819" s="151">
        <v>50</v>
      </c>
      <c r="E819" s="145">
        <v>4.1</v>
      </c>
      <c r="F819" s="145">
        <v>0.7</v>
      </c>
      <c r="G819" s="145">
        <v>19</v>
      </c>
      <c r="H819" s="152">
        <v>98</v>
      </c>
      <c r="I819" s="306">
        <v>0</v>
      </c>
      <c r="J819" s="306"/>
    </row>
    <row r="820" spans="1:35" ht="24.75" customHeight="1">
      <c r="A820" s="461" t="s">
        <v>72</v>
      </c>
      <c r="B820" s="461"/>
      <c r="C820" s="461"/>
      <c r="D820" s="151">
        <v>70</v>
      </c>
      <c r="E820" s="145">
        <v>4.62</v>
      </c>
      <c r="F820" s="145">
        <v>0.84</v>
      </c>
      <c r="G820" s="145">
        <v>23.38</v>
      </c>
      <c r="H820" s="152">
        <v>119.56</v>
      </c>
      <c r="I820" s="306">
        <v>0</v>
      </c>
      <c r="J820" s="306"/>
      <c r="L820" s="25"/>
      <c r="M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</row>
    <row r="821" spans="1:35" ht="34.5" customHeight="1">
      <c r="A821" s="477" t="s">
        <v>61</v>
      </c>
      <c r="B821" s="477"/>
      <c r="C821" s="477"/>
      <c r="D821" s="477"/>
      <c r="E821" s="159">
        <f>SUM(E822:E824)</f>
        <v>1.6</v>
      </c>
      <c r="F821" s="159">
        <f>SUM(F822:F824)</f>
        <v>1.6</v>
      </c>
      <c r="G821" s="159">
        <f>SUM(G822:G824)</f>
        <v>68.6</v>
      </c>
      <c r="H821" s="215">
        <f>SUM(H822:H824)</f>
        <v>295.20000000000005</v>
      </c>
      <c r="I821" s="159">
        <f>SUM(I822:I824)</f>
        <v>19</v>
      </c>
      <c r="J821" s="159"/>
      <c r="L821" s="25"/>
      <c r="M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</row>
    <row r="822" spans="1:35" ht="39.75" customHeight="1">
      <c r="A822" s="462" t="s">
        <v>559</v>
      </c>
      <c r="B822" s="462"/>
      <c r="C822" s="462"/>
      <c r="D822" s="143">
        <v>90</v>
      </c>
      <c r="E822" s="144">
        <v>1.5</v>
      </c>
      <c r="F822" s="144">
        <v>1.6</v>
      </c>
      <c r="G822" s="144">
        <v>46.6</v>
      </c>
      <c r="H822" s="152">
        <f>E822*4+F822*9+G822*4</f>
        <v>206.8</v>
      </c>
      <c r="I822" s="306">
        <v>0</v>
      </c>
      <c r="J822" s="306"/>
      <c r="L822" s="25"/>
      <c r="M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</row>
    <row r="823" spans="1:35" ht="24.75" customHeight="1">
      <c r="A823" s="463" t="s">
        <v>399</v>
      </c>
      <c r="B823" s="464"/>
      <c r="C823" s="465"/>
      <c r="D823" s="143"/>
      <c r="E823" s="54"/>
      <c r="F823" s="54"/>
      <c r="G823" s="54"/>
      <c r="H823" s="45"/>
      <c r="I823" s="307"/>
      <c r="J823" s="306"/>
      <c r="L823" s="25"/>
      <c r="M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</row>
    <row r="824" spans="1:10" ht="85.5" customHeight="1">
      <c r="A824" s="482" t="s">
        <v>504</v>
      </c>
      <c r="B824" s="482"/>
      <c r="C824" s="482"/>
      <c r="D824" s="143">
        <v>200</v>
      </c>
      <c r="E824" s="143">
        <v>0.1</v>
      </c>
      <c r="F824" s="144">
        <v>0</v>
      </c>
      <c r="G824" s="144">
        <v>22</v>
      </c>
      <c r="H824" s="152">
        <f>E824*4+F824*9+G824*4</f>
        <v>88.4</v>
      </c>
      <c r="I824" s="317">
        <v>19</v>
      </c>
      <c r="J824" s="317" t="s">
        <v>503</v>
      </c>
    </row>
    <row r="825" spans="1:10" ht="24.75" customHeight="1">
      <c r="A825" s="466" t="s">
        <v>30</v>
      </c>
      <c r="B825" s="466"/>
      <c r="C825" s="466"/>
      <c r="D825" s="466"/>
      <c r="E825" s="128">
        <f>SUM(E826:E848)</f>
        <v>16.4</v>
      </c>
      <c r="F825" s="128">
        <f>SUM(F826:F848)</f>
        <v>21.020000000000003</v>
      </c>
      <c r="G825" s="128">
        <f>SUM(G826:G848)</f>
        <v>52.505</v>
      </c>
      <c r="H825" s="116">
        <f>SUM(H826:H848)</f>
        <v>464.8</v>
      </c>
      <c r="I825" s="128">
        <f>SUM(I826:I848)</f>
        <v>84.11999999999999</v>
      </c>
      <c r="J825" s="159"/>
    </row>
    <row r="826" spans="1:11" ht="24.75" customHeight="1">
      <c r="A826" s="468" t="s">
        <v>545</v>
      </c>
      <c r="B826" s="468"/>
      <c r="C826" s="468"/>
      <c r="D826" s="151">
        <v>70</v>
      </c>
      <c r="E826" s="145">
        <v>0.7</v>
      </c>
      <c r="F826" s="145">
        <v>0.1</v>
      </c>
      <c r="G826" s="145">
        <v>2.485</v>
      </c>
      <c r="H826" s="152">
        <f>E826*4+F826*9+G826*4</f>
        <v>13.639999999999999</v>
      </c>
      <c r="I826" s="306">
        <v>72</v>
      </c>
      <c r="J826" s="306" t="s">
        <v>348</v>
      </c>
      <c r="K826" s="14"/>
    </row>
    <row r="827" spans="1:11" ht="24.75" customHeight="1">
      <c r="A827" s="129" t="s">
        <v>170</v>
      </c>
      <c r="B827" s="42">
        <f>C827*1.33</f>
        <v>46.550000000000004</v>
      </c>
      <c r="C827" s="16">
        <v>35</v>
      </c>
      <c r="D827" s="41"/>
      <c r="E827" s="44"/>
      <c r="F827" s="44"/>
      <c r="G827" s="44"/>
      <c r="H827" s="45"/>
      <c r="I827" s="307"/>
      <c r="J827" s="306"/>
      <c r="K827" s="14"/>
    </row>
    <row r="828" spans="1:11" ht="24.75" customHeight="1">
      <c r="A828" s="184" t="s">
        <v>163</v>
      </c>
      <c r="B828" s="187">
        <f>C828*1.02</f>
        <v>35.7</v>
      </c>
      <c r="C828" s="153">
        <v>35</v>
      </c>
      <c r="D828" s="151"/>
      <c r="E828" s="145"/>
      <c r="F828" s="145"/>
      <c r="G828" s="145"/>
      <c r="H828" s="152"/>
      <c r="I828" s="306"/>
      <c r="J828" s="306"/>
      <c r="K828" s="10"/>
    </row>
    <row r="829" spans="1:11" ht="24.75" customHeight="1">
      <c r="A829" s="290" t="s">
        <v>226</v>
      </c>
      <c r="B829" s="187">
        <f>C829*1.05</f>
        <v>36.75</v>
      </c>
      <c r="C829" s="153">
        <v>35</v>
      </c>
      <c r="D829" s="151"/>
      <c r="E829" s="145"/>
      <c r="F829" s="145"/>
      <c r="G829" s="145"/>
      <c r="H829" s="152"/>
      <c r="I829" s="306"/>
      <c r="J829" s="306"/>
      <c r="K829" s="14"/>
    </row>
    <row r="830" spans="1:10" ht="24.75" customHeight="1">
      <c r="A830" s="481" t="s">
        <v>447</v>
      </c>
      <c r="B830" s="481"/>
      <c r="C830" s="481"/>
      <c r="D830" s="95">
        <v>240</v>
      </c>
      <c r="E830" s="145">
        <v>9.3</v>
      </c>
      <c r="F830" s="145">
        <v>16.8</v>
      </c>
      <c r="G830" s="145">
        <v>18.8</v>
      </c>
      <c r="H830" s="152">
        <f>E830*4+F830*9+G830*4</f>
        <v>263.6</v>
      </c>
      <c r="I830" s="306">
        <v>11.1</v>
      </c>
      <c r="J830" s="306" t="s">
        <v>348</v>
      </c>
    </row>
    <row r="831" spans="1:10" ht="24.75" customHeight="1">
      <c r="A831" s="195" t="s">
        <v>62</v>
      </c>
      <c r="B831" s="196">
        <f>C831*1.36</f>
        <v>107.44000000000001</v>
      </c>
      <c r="C831" s="183">
        <v>79</v>
      </c>
      <c r="D831" s="199"/>
      <c r="E831" s="200"/>
      <c r="F831" s="200"/>
      <c r="G831" s="200"/>
      <c r="H831" s="201"/>
      <c r="I831" s="309"/>
      <c r="J831" s="317"/>
    </row>
    <row r="832" spans="1:10" ht="24.75" customHeight="1">
      <c r="A832" s="117" t="s">
        <v>74</v>
      </c>
      <c r="B832" s="219">
        <f>C832*1.18</f>
        <v>93.22</v>
      </c>
      <c r="C832" s="183">
        <v>79</v>
      </c>
      <c r="D832" s="199"/>
      <c r="E832" s="200"/>
      <c r="F832" s="200"/>
      <c r="G832" s="200"/>
      <c r="H832" s="200"/>
      <c r="I832" s="349"/>
      <c r="J832" s="317"/>
    </row>
    <row r="833" spans="1:10" ht="24.75" customHeight="1">
      <c r="A833" s="184" t="s">
        <v>21</v>
      </c>
      <c r="B833" s="187">
        <f>C833*1.33</f>
        <v>192.85000000000002</v>
      </c>
      <c r="C833" s="183">
        <v>145</v>
      </c>
      <c r="D833" s="183"/>
      <c r="E833" s="188"/>
      <c r="F833" s="188"/>
      <c r="G833" s="188"/>
      <c r="H833" s="187"/>
      <c r="I833" s="317"/>
      <c r="J833" s="317"/>
    </row>
    <row r="834" spans="1:10" ht="24.75" customHeight="1">
      <c r="A834" s="202" t="s">
        <v>22</v>
      </c>
      <c r="B834" s="94">
        <f>C834*1.43</f>
        <v>207.35</v>
      </c>
      <c r="C834" s="183">
        <v>145</v>
      </c>
      <c r="D834" s="183"/>
      <c r="E834" s="96"/>
      <c r="F834" s="96"/>
      <c r="G834" s="96"/>
      <c r="H834" s="45"/>
      <c r="I834" s="307"/>
      <c r="J834" s="306"/>
    </row>
    <row r="835" spans="1:10" ht="24.75" customHeight="1">
      <c r="A835" s="123" t="s">
        <v>23</v>
      </c>
      <c r="B835" s="94">
        <f>C835*1.54</f>
        <v>223.3</v>
      </c>
      <c r="C835" s="183">
        <v>145</v>
      </c>
      <c r="D835" s="183"/>
      <c r="E835" s="200"/>
      <c r="F835" s="200"/>
      <c r="G835" s="200"/>
      <c r="H835" s="201"/>
      <c r="I835" s="309"/>
      <c r="J835" s="317"/>
    </row>
    <row r="836" spans="1:10" ht="24.75" customHeight="1">
      <c r="A836" s="123" t="s">
        <v>24</v>
      </c>
      <c r="B836" s="94">
        <f>C836*1.67</f>
        <v>242.14999999999998</v>
      </c>
      <c r="C836" s="183">
        <v>145</v>
      </c>
      <c r="D836" s="183"/>
      <c r="E836" s="200"/>
      <c r="F836" s="200"/>
      <c r="G836" s="200"/>
      <c r="H836" s="201"/>
      <c r="I836" s="309"/>
      <c r="J836" s="317"/>
    </row>
    <row r="837" spans="1:10" ht="24.75" customHeight="1">
      <c r="A837" s="202" t="s">
        <v>27</v>
      </c>
      <c r="B837" s="199">
        <v>6</v>
      </c>
      <c r="C837" s="199">
        <v>6</v>
      </c>
      <c r="D837" s="183"/>
      <c r="E837" s="200"/>
      <c r="F837" s="200"/>
      <c r="G837" s="200"/>
      <c r="H837" s="201"/>
      <c r="I837" s="309"/>
      <c r="J837" s="317"/>
    </row>
    <row r="838" spans="1:10" ht="24.75" customHeight="1">
      <c r="A838" s="202" t="s">
        <v>26</v>
      </c>
      <c r="B838" s="94">
        <f>C838*1.19</f>
        <v>23.799999999999997</v>
      </c>
      <c r="C838" s="199">
        <v>20</v>
      </c>
      <c r="D838" s="183"/>
      <c r="E838" s="200"/>
      <c r="F838" s="200"/>
      <c r="G838" s="200"/>
      <c r="H838" s="201"/>
      <c r="I838" s="309"/>
      <c r="J838" s="317"/>
    </row>
    <row r="839" spans="1:10" ht="24.75" customHeight="1">
      <c r="A839" s="141" t="s">
        <v>215</v>
      </c>
      <c r="B839" s="199">
        <v>4</v>
      </c>
      <c r="C839" s="199">
        <v>4</v>
      </c>
      <c r="D839" s="183"/>
      <c r="E839" s="200"/>
      <c r="F839" s="200"/>
      <c r="G839" s="200"/>
      <c r="H839" s="201"/>
      <c r="I839" s="309"/>
      <c r="J839" s="317"/>
    </row>
    <row r="840" spans="1:10" ht="24.75" customHeight="1">
      <c r="A840" s="115" t="s">
        <v>25</v>
      </c>
      <c r="B840" s="42">
        <f>C840*1.25</f>
        <v>18.75</v>
      </c>
      <c r="C840" s="16">
        <v>15</v>
      </c>
      <c r="D840" s="183"/>
      <c r="E840" s="50"/>
      <c r="F840" s="50"/>
      <c r="G840" s="50"/>
      <c r="H840" s="42"/>
      <c r="I840" s="385"/>
      <c r="J840" s="385"/>
    </row>
    <row r="841" spans="1:10" ht="24.75" customHeight="1">
      <c r="A841" s="115" t="s">
        <v>19</v>
      </c>
      <c r="B841" s="42">
        <f>C841*1.33</f>
        <v>19.950000000000003</v>
      </c>
      <c r="C841" s="16">
        <v>15</v>
      </c>
      <c r="D841" s="183"/>
      <c r="E841" s="50"/>
      <c r="F841" s="50"/>
      <c r="G841" s="50"/>
      <c r="H841" s="42"/>
      <c r="I841" s="385"/>
      <c r="J841" s="385"/>
    </row>
    <row r="842" spans="1:11" ht="24.75" customHeight="1">
      <c r="A842" s="468" t="s">
        <v>37</v>
      </c>
      <c r="B842" s="468"/>
      <c r="C842" s="468"/>
      <c r="D842" s="41">
        <v>200</v>
      </c>
      <c r="E842" s="44">
        <v>0.2</v>
      </c>
      <c r="F842" s="44">
        <v>0</v>
      </c>
      <c r="G842" s="44">
        <v>10.9</v>
      </c>
      <c r="H842" s="152">
        <f>E842*4+F842*9+G842*4</f>
        <v>44.4</v>
      </c>
      <c r="I842" s="307">
        <v>0</v>
      </c>
      <c r="J842" s="306" t="s">
        <v>353</v>
      </c>
      <c r="K842" s="10"/>
    </row>
    <row r="843" spans="1:11" ht="24.75" customHeight="1">
      <c r="A843" s="115" t="s">
        <v>16</v>
      </c>
      <c r="B843" s="16">
        <v>0.4</v>
      </c>
      <c r="C843" s="16">
        <v>0.4</v>
      </c>
      <c r="D843" s="16"/>
      <c r="E843" s="50"/>
      <c r="F843" s="50"/>
      <c r="G843" s="50"/>
      <c r="H843" s="42"/>
      <c r="I843" s="307"/>
      <c r="J843" s="306"/>
      <c r="K843" s="10"/>
    </row>
    <row r="844" spans="1:11" ht="24.75" customHeight="1">
      <c r="A844" s="139" t="s">
        <v>161</v>
      </c>
      <c r="B844" s="153">
        <v>12</v>
      </c>
      <c r="C844" s="153">
        <v>12</v>
      </c>
      <c r="D844" s="153"/>
      <c r="E844" s="161"/>
      <c r="F844" s="161"/>
      <c r="G844" s="161"/>
      <c r="H844" s="142"/>
      <c r="I844" s="306"/>
      <c r="J844" s="306"/>
      <c r="K844" s="10"/>
    </row>
    <row r="845" spans="1:13" ht="24.75" customHeight="1" thickBot="1">
      <c r="A845" s="461" t="s">
        <v>72</v>
      </c>
      <c r="B845" s="461"/>
      <c r="C845" s="461"/>
      <c r="D845" s="151">
        <v>20</v>
      </c>
      <c r="E845" s="145">
        <v>1.36</v>
      </c>
      <c r="F845" s="145">
        <v>0.24</v>
      </c>
      <c r="G845" s="145">
        <v>6.72</v>
      </c>
      <c r="H845" s="152">
        <v>34.48</v>
      </c>
      <c r="I845" s="306">
        <v>0</v>
      </c>
      <c r="J845" s="306"/>
      <c r="K845" s="10"/>
      <c r="L845" s="181" t="s">
        <v>50</v>
      </c>
      <c r="M845" s="102"/>
    </row>
    <row r="846" spans="1:13" ht="33.75" customHeight="1">
      <c r="A846" s="461" t="s">
        <v>258</v>
      </c>
      <c r="B846" s="461"/>
      <c r="C846" s="461"/>
      <c r="D846" s="151">
        <v>20</v>
      </c>
      <c r="E846" s="145">
        <v>1.6400000000000001</v>
      </c>
      <c r="F846" s="145">
        <v>0.28</v>
      </c>
      <c r="G846" s="145">
        <v>7.6</v>
      </c>
      <c r="H846" s="152">
        <v>39.480000000000004</v>
      </c>
      <c r="I846" s="306">
        <v>0</v>
      </c>
      <c r="J846" s="306"/>
      <c r="K846" s="14"/>
      <c r="L846" s="59" t="s">
        <v>72</v>
      </c>
      <c r="M846" s="101">
        <f>D916+D954</f>
        <v>75</v>
      </c>
    </row>
    <row r="847" spans="1:13" ht="32.25" customHeight="1">
      <c r="A847" s="477" t="s">
        <v>232</v>
      </c>
      <c r="B847" s="477"/>
      <c r="C847" s="477"/>
      <c r="D847" s="477"/>
      <c r="E847" s="477"/>
      <c r="F847" s="477"/>
      <c r="G847" s="477"/>
      <c r="H847" s="477"/>
      <c r="I847" s="477"/>
      <c r="J847" s="477"/>
      <c r="K847" s="14"/>
      <c r="L847" s="35" t="s">
        <v>82</v>
      </c>
      <c r="M847" s="101">
        <f>D915+D955+C864</f>
        <v>95</v>
      </c>
    </row>
    <row r="848" spans="1:13" ht="57" customHeight="1">
      <c r="A848" s="274" t="s">
        <v>257</v>
      </c>
      <c r="B848" s="16">
        <v>154</v>
      </c>
      <c r="C848" s="112">
        <v>150</v>
      </c>
      <c r="D848" s="41">
        <v>150</v>
      </c>
      <c r="E848" s="44">
        <v>3.2</v>
      </c>
      <c r="F848" s="44">
        <v>3.6</v>
      </c>
      <c r="G848" s="44">
        <v>6</v>
      </c>
      <c r="H848" s="45">
        <f>E848*4+F848*9+G848*4</f>
        <v>69.2</v>
      </c>
      <c r="I848" s="307">
        <v>1.02</v>
      </c>
      <c r="J848" s="306" t="s">
        <v>372</v>
      </c>
      <c r="K848" s="14"/>
      <c r="L848" s="35" t="s">
        <v>83</v>
      </c>
      <c r="M848" s="101">
        <f>B940</f>
        <v>2.5</v>
      </c>
    </row>
    <row r="849" spans="1:13" ht="32.25" customHeight="1">
      <c r="A849" s="478" t="s">
        <v>141</v>
      </c>
      <c r="B849" s="478"/>
      <c r="C849" s="478"/>
      <c r="D849" s="478"/>
      <c r="E849" s="217">
        <f>E847+E825+E821+E777+E757+E775</f>
        <v>62.650000000000006</v>
      </c>
      <c r="F849" s="216">
        <f>F847+F825+F821+F777+F757+F775</f>
        <v>70.17000000000002</v>
      </c>
      <c r="G849" s="217">
        <f>G847+G825+G821+G777+G757+G775</f>
        <v>314.485</v>
      </c>
      <c r="H849" s="217">
        <f>H847+H825+H821+H777+H757+H775</f>
        <v>2139.37</v>
      </c>
      <c r="I849" s="318">
        <f>I847+I825+I821+I777+I757+I775</f>
        <v>143.3572857142857</v>
      </c>
      <c r="J849" s="324"/>
      <c r="K849" s="14"/>
      <c r="L849" s="36" t="s">
        <v>126</v>
      </c>
      <c r="M849" s="101">
        <f>B857+B935</f>
        <v>39.5</v>
      </c>
    </row>
    <row r="850" spans="1:12" ht="24.75" customHeight="1">
      <c r="A850" s="493" t="s">
        <v>0</v>
      </c>
      <c r="B850" s="493"/>
      <c r="C850" s="493"/>
      <c r="D850" s="493"/>
      <c r="E850" s="493"/>
      <c r="F850" s="493"/>
      <c r="G850" s="493"/>
      <c r="H850" s="493"/>
      <c r="I850" s="493"/>
      <c r="J850" s="493"/>
      <c r="K850" s="14"/>
      <c r="L850" s="39" t="s">
        <v>330</v>
      </c>
    </row>
    <row r="851" spans="1:13" ht="24.75" customHeight="1">
      <c r="A851" s="524" t="s">
        <v>50</v>
      </c>
      <c r="B851" s="524"/>
      <c r="C851" s="524"/>
      <c r="D851" s="524"/>
      <c r="E851" s="524"/>
      <c r="F851" s="524"/>
      <c r="G851" s="524"/>
      <c r="H851" s="524"/>
      <c r="I851" s="524"/>
      <c r="J851" s="524"/>
      <c r="K851" s="14"/>
      <c r="L851" s="35" t="s">
        <v>138</v>
      </c>
      <c r="M851" s="101">
        <f>B880+B905+B944</f>
        <v>478.8</v>
      </c>
    </row>
    <row r="852" spans="1:13" ht="24.75" customHeight="1">
      <c r="A852" s="455" t="s">
        <v>2</v>
      </c>
      <c r="B852" s="449" t="s">
        <v>3</v>
      </c>
      <c r="C852" s="449" t="s">
        <v>4</v>
      </c>
      <c r="D852" s="455" t="s">
        <v>5</v>
      </c>
      <c r="E852" s="455"/>
      <c r="F852" s="455"/>
      <c r="G852" s="455"/>
      <c r="H852" s="455"/>
      <c r="I852" s="455"/>
      <c r="J852" s="446" t="s">
        <v>311</v>
      </c>
      <c r="K852" s="14"/>
      <c r="L852" s="35" t="s">
        <v>84</v>
      </c>
      <c r="M852" s="101">
        <f>B885+B886+B887+B889+B895+B897+B877+B904+B875+B909+B922+B924+B925+B926+B927+B910+B936+B937+B949</f>
        <v>356.08599999999996</v>
      </c>
    </row>
    <row r="853" spans="1:13" ht="24.75" customHeight="1">
      <c r="A853" s="455"/>
      <c r="B853" s="449"/>
      <c r="C853" s="449"/>
      <c r="D853" s="449" t="s">
        <v>6</v>
      </c>
      <c r="E853" s="467" t="s">
        <v>7</v>
      </c>
      <c r="F853" s="467" t="s">
        <v>8</v>
      </c>
      <c r="G853" s="467" t="s">
        <v>9</v>
      </c>
      <c r="H853" s="453" t="s">
        <v>10</v>
      </c>
      <c r="I853" s="444" t="s">
        <v>312</v>
      </c>
      <c r="J853" s="447"/>
      <c r="K853" s="14"/>
      <c r="L853" s="35" t="s">
        <v>85</v>
      </c>
      <c r="M853" s="101">
        <f>B861+D872+B929</f>
        <v>222.18</v>
      </c>
    </row>
    <row r="854" spans="1:13" ht="24.75" customHeight="1">
      <c r="A854" s="455"/>
      <c r="B854" s="449"/>
      <c r="C854" s="449"/>
      <c r="D854" s="449"/>
      <c r="E854" s="467"/>
      <c r="F854" s="467"/>
      <c r="G854" s="467"/>
      <c r="H854" s="453"/>
      <c r="I854" s="445"/>
      <c r="J854" s="448"/>
      <c r="K854" s="14"/>
      <c r="L854" s="35" t="s">
        <v>127</v>
      </c>
      <c r="M854" s="101">
        <f>D919</f>
        <v>200</v>
      </c>
    </row>
    <row r="855" spans="1:13" ht="24.75" customHeight="1">
      <c r="A855" s="466" t="s">
        <v>11</v>
      </c>
      <c r="B855" s="466"/>
      <c r="C855" s="466"/>
      <c r="D855" s="466"/>
      <c r="E855" s="128">
        <f>SUM(E856:E872)</f>
        <v>11.01</v>
      </c>
      <c r="F855" s="128">
        <f>SUM(F856:F872)</f>
        <v>14</v>
      </c>
      <c r="G855" s="128">
        <f>SUM(G856:G872)</f>
        <v>73.3</v>
      </c>
      <c r="H855" s="116">
        <f>SUM(H856:H872)</f>
        <v>459.24</v>
      </c>
      <c r="I855" s="128">
        <f>SUM(I856:I872)</f>
        <v>13.333018181818183</v>
      </c>
      <c r="J855" s="159"/>
      <c r="K855" s="14"/>
      <c r="L855" s="35" t="s">
        <v>86</v>
      </c>
      <c r="M855" s="101">
        <f>B913</f>
        <v>25</v>
      </c>
    </row>
    <row r="856" spans="1:13" ht="24.75" customHeight="1">
      <c r="A856" s="468" t="s">
        <v>203</v>
      </c>
      <c r="B856" s="468"/>
      <c r="C856" s="468"/>
      <c r="D856" s="41" t="s">
        <v>242</v>
      </c>
      <c r="E856" s="44">
        <v>6.71</v>
      </c>
      <c r="F856" s="44">
        <v>7.5</v>
      </c>
      <c r="G856" s="44">
        <v>29.5</v>
      </c>
      <c r="H856" s="45">
        <f>E856*4+F856*9+G856*4</f>
        <v>212.34</v>
      </c>
      <c r="I856" s="307">
        <v>0.43119999999999997</v>
      </c>
      <c r="J856" s="306" t="s">
        <v>518</v>
      </c>
      <c r="K856" s="14"/>
      <c r="L856" s="35" t="s">
        <v>87</v>
      </c>
      <c r="M856" s="101">
        <f>B859+B952+B928+B869+B914</f>
        <v>43.5</v>
      </c>
    </row>
    <row r="857" spans="1:13" ht="24.75" customHeight="1">
      <c r="A857" s="115" t="s">
        <v>63</v>
      </c>
      <c r="B857" s="16">
        <v>35</v>
      </c>
      <c r="C857" s="16">
        <v>35</v>
      </c>
      <c r="D857" s="45"/>
      <c r="E857" s="45"/>
      <c r="F857" s="44"/>
      <c r="G857" s="44"/>
      <c r="H857" s="45"/>
      <c r="I857" s="307"/>
      <c r="J857" s="306"/>
      <c r="K857" s="14"/>
      <c r="L857" s="240" t="s">
        <v>207</v>
      </c>
      <c r="M857" s="106">
        <f>D918</f>
        <v>30</v>
      </c>
    </row>
    <row r="858" spans="1:13" ht="24.75" customHeight="1">
      <c r="A858" s="182" t="s">
        <v>149</v>
      </c>
      <c r="B858" s="16">
        <v>154</v>
      </c>
      <c r="C858" s="16">
        <v>154</v>
      </c>
      <c r="D858" s="45"/>
      <c r="E858" s="44"/>
      <c r="F858" s="44"/>
      <c r="G858" s="44"/>
      <c r="H858" s="44"/>
      <c r="I858" s="307"/>
      <c r="J858" s="306"/>
      <c r="K858" s="14"/>
      <c r="L858" s="35" t="s">
        <v>128</v>
      </c>
      <c r="M858" s="101"/>
    </row>
    <row r="859" spans="1:13" ht="24.75" customHeight="1">
      <c r="A859" s="184" t="s">
        <v>12</v>
      </c>
      <c r="B859" s="153">
        <v>5</v>
      </c>
      <c r="C859" s="153">
        <v>5</v>
      </c>
      <c r="D859" s="152"/>
      <c r="E859" s="152"/>
      <c r="F859" s="145"/>
      <c r="G859" s="145"/>
      <c r="H859" s="152"/>
      <c r="I859" s="306"/>
      <c r="J859" s="306"/>
      <c r="K859" s="14"/>
      <c r="L859" s="35" t="s">
        <v>88</v>
      </c>
      <c r="M859" s="101">
        <f>B951</f>
        <v>0.4</v>
      </c>
    </row>
    <row r="860" spans="1:13" ht="24.75" customHeight="1">
      <c r="A860" s="123" t="s">
        <v>110</v>
      </c>
      <c r="B860" s="16">
        <v>26</v>
      </c>
      <c r="C860" s="16">
        <v>26</v>
      </c>
      <c r="D860" s="45"/>
      <c r="E860" s="45"/>
      <c r="F860" s="44"/>
      <c r="G860" s="44"/>
      <c r="H860" s="45"/>
      <c r="I860" s="307"/>
      <c r="J860" s="306"/>
      <c r="K860" s="14"/>
      <c r="L860" s="35" t="s">
        <v>129</v>
      </c>
      <c r="M860" s="101">
        <f>B894+B932</f>
        <v>71.6</v>
      </c>
    </row>
    <row r="861" spans="1:13" ht="24.75" customHeight="1">
      <c r="A861" s="171" t="s">
        <v>176</v>
      </c>
      <c r="B861" s="42">
        <f>C861*1.43</f>
        <v>38.61</v>
      </c>
      <c r="C861" s="42">
        <v>27</v>
      </c>
      <c r="D861" s="45"/>
      <c r="E861" s="45"/>
      <c r="F861" s="50"/>
      <c r="G861" s="50"/>
      <c r="H861" s="42"/>
      <c r="I861" s="307"/>
      <c r="J861" s="306"/>
      <c r="K861" s="14"/>
      <c r="L861" s="240" t="s">
        <v>208</v>
      </c>
      <c r="M861" s="102">
        <f>B900</f>
        <v>86.428</v>
      </c>
    </row>
    <row r="862" spans="1:13" ht="24.75" customHeight="1">
      <c r="A862" s="115" t="s">
        <v>27</v>
      </c>
      <c r="B862" s="16">
        <v>5</v>
      </c>
      <c r="C862" s="16">
        <v>5</v>
      </c>
      <c r="D862" s="45"/>
      <c r="E862" s="45"/>
      <c r="F862" s="50"/>
      <c r="G862" s="50"/>
      <c r="H862" s="42"/>
      <c r="I862" s="307"/>
      <c r="J862" s="306"/>
      <c r="K862" s="14"/>
      <c r="L862" s="35" t="s">
        <v>89</v>
      </c>
      <c r="M862" s="103"/>
    </row>
    <row r="863" spans="1:13" ht="24.75" customHeight="1">
      <c r="A863" s="468" t="s">
        <v>180</v>
      </c>
      <c r="B863" s="468"/>
      <c r="C863" s="468"/>
      <c r="D863" s="80" t="s">
        <v>210</v>
      </c>
      <c r="E863" s="145">
        <v>3.7</v>
      </c>
      <c r="F863" s="145">
        <v>6.5</v>
      </c>
      <c r="G863" s="145">
        <v>10.5</v>
      </c>
      <c r="H863" s="152">
        <f>E863*4+F863*9+G863*4</f>
        <v>115.3</v>
      </c>
      <c r="I863" s="306">
        <v>0.10181818181818182</v>
      </c>
      <c r="J863" s="306" t="s">
        <v>352</v>
      </c>
      <c r="K863" s="14"/>
      <c r="L863" s="221" t="s">
        <v>130</v>
      </c>
      <c r="M863" s="222"/>
    </row>
    <row r="864" spans="1:13" ht="24.75" customHeight="1">
      <c r="A864" s="115" t="s">
        <v>356</v>
      </c>
      <c r="B864" s="16">
        <v>20</v>
      </c>
      <c r="C864" s="16">
        <v>20</v>
      </c>
      <c r="D864" s="16"/>
      <c r="E864" s="145"/>
      <c r="F864" s="145"/>
      <c r="G864" s="145"/>
      <c r="H864" s="152"/>
      <c r="I864" s="306"/>
      <c r="J864" s="306"/>
      <c r="K864" s="14"/>
      <c r="L864" s="36" t="s">
        <v>131</v>
      </c>
      <c r="M864" s="103">
        <f>B858+B953+B870</f>
        <v>260</v>
      </c>
    </row>
    <row r="865" spans="1:13" ht="24.75" customHeight="1">
      <c r="A865" s="115" t="s">
        <v>183</v>
      </c>
      <c r="B865" s="93">
        <v>16</v>
      </c>
      <c r="C865" s="93">
        <v>15</v>
      </c>
      <c r="D865" s="92"/>
      <c r="E865" s="119"/>
      <c r="F865" s="119"/>
      <c r="G865" s="119"/>
      <c r="H865" s="124"/>
      <c r="I865" s="306"/>
      <c r="J865" s="306"/>
      <c r="K865" s="14"/>
      <c r="L865" s="39" t="s">
        <v>331</v>
      </c>
      <c r="M865" s="106">
        <f>B957</f>
        <v>154</v>
      </c>
    </row>
    <row r="866" spans="1:13" ht="24.75" customHeight="1">
      <c r="A866" s="115" t="s">
        <v>27</v>
      </c>
      <c r="B866" s="16">
        <v>5</v>
      </c>
      <c r="C866" s="16">
        <v>5</v>
      </c>
      <c r="D866" s="16"/>
      <c r="E866" s="50"/>
      <c r="F866" s="50"/>
      <c r="G866" s="50"/>
      <c r="H866" s="42"/>
      <c r="I866" s="307"/>
      <c r="J866" s="306"/>
      <c r="K866" s="14"/>
      <c r="L866" s="35" t="s">
        <v>90</v>
      </c>
      <c r="M866" s="103"/>
    </row>
    <row r="867" spans="1:13" ht="24.75" customHeight="1">
      <c r="A867" s="514" t="s">
        <v>14</v>
      </c>
      <c r="B867" s="515"/>
      <c r="C867" s="516"/>
      <c r="D867" s="51">
        <v>200</v>
      </c>
      <c r="E867" s="52">
        <v>0.2</v>
      </c>
      <c r="F867" s="52">
        <v>0</v>
      </c>
      <c r="G867" s="52">
        <v>15.3</v>
      </c>
      <c r="H867" s="45">
        <v>58</v>
      </c>
      <c r="I867" s="306">
        <v>0.8</v>
      </c>
      <c r="J867" s="316" t="s">
        <v>348</v>
      </c>
      <c r="K867" s="14"/>
      <c r="L867" s="35" t="s">
        <v>91</v>
      </c>
      <c r="M867" s="103">
        <f>B941</f>
        <v>10</v>
      </c>
    </row>
    <row r="868" spans="1:13" ht="24.75" customHeight="1">
      <c r="A868" s="366" t="s">
        <v>556</v>
      </c>
      <c r="B868" s="48">
        <v>0.4</v>
      </c>
      <c r="C868" s="48">
        <v>0.4</v>
      </c>
      <c r="D868" s="48"/>
      <c r="E868" s="50"/>
      <c r="F868" s="50"/>
      <c r="G868" s="50"/>
      <c r="H868" s="42"/>
      <c r="I868" s="365"/>
      <c r="J868" s="365"/>
      <c r="K868" s="14"/>
      <c r="L868" s="35" t="s">
        <v>134</v>
      </c>
      <c r="M868" s="103">
        <f>B865</f>
        <v>16</v>
      </c>
    </row>
    <row r="869" spans="1:13" ht="24.75" customHeight="1">
      <c r="A869" s="114" t="s">
        <v>12</v>
      </c>
      <c r="B869" s="48">
        <v>15</v>
      </c>
      <c r="C869" s="48">
        <v>15</v>
      </c>
      <c r="D869" s="16"/>
      <c r="E869" s="50"/>
      <c r="F869" s="50"/>
      <c r="G869" s="50"/>
      <c r="H869" s="42"/>
      <c r="I869" s="365"/>
      <c r="J869" s="365"/>
      <c r="K869" s="15"/>
      <c r="L869" s="35" t="s">
        <v>92</v>
      </c>
      <c r="M869" s="103">
        <f>B862+B890+B911+B948+C866+B942</f>
        <v>29.5</v>
      </c>
    </row>
    <row r="870" spans="1:13" ht="31.5" customHeight="1">
      <c r="A870" s="115" t="s">
        <v>557</v>
      </c>
      <c r="B870" s="48">
        <v>6</v>
      </c>
      <c r="C870" s="48">
        <v>5</v>
      </c>
      <c r="D870" s="16"/>
      <c r="E870" s="50"/>
      <c r="F870" s="50"/>
      <c r="G870" s="50"/>
      <c r="H870" s="50"/>
      <c r="I870" s="50"/>
      <c r="J870" s="365"/>
      <c r="K870" s="15"/>
      <c r="L870" s="35" t="s">
        <v>65</v>
      </c>
      <c r="M870" s="103">
        <f>B930+B938</f>
        <v>10</v>
      </c>
    </row>
    <row r="871" spans="1:13" ht="24.75" customHeight="1" thickBot="1">
      <c r="A871" s="477" t="s">
        <v>151</v>
      </c>
      <c r="B871" s="477"/>
      <c r="C871" s="477"/>
      <c r="D871" s="477"/>
      <c r="E871" s="477"/>
      <c r="F871" s="477"/>
      <c r="G871" s="477"/>
      <c r="H871" s="477"/>
      <c r="I871" s="477"/>
      <c r="J871" s="477"/>
      <c r="K871" s="15"/>
      <c r="L871" s="37" t="s">
        <v>93</v>
      </c>
      <c r="M871" s="103">
        <f>B896</f>
        <v>2</v>
      </c>
    </row>
    <row r="872" spans="1:12" ht="34.5" customHeight="1">
      <c r="A872" s="472" t="s">
        <v>345</v>
      </c>
      <c r="B872" s="472"/>
      <c r="C872" s="472"/>
      <c r="D872" s="143">
        <v>180</v>
      </c>
      <c r="E872" s="145">
        <v>0.4</v>
      </c>
      <c r="F872" s="144">
        <v>0</v>
      </c>
      <c r="G872" s="145">
        <v>18</v>
      </c>
      <c r="H872" s="152">
        <f>E872*4+F872*9+G872*4</f>
        <v>73.6</v>
      </c>
      <c r="I872" s="306">
        <v>12</v>
      </c>
      <c r="J872" s="306"/>
      <c r="K872" s="15"/>
      <c r="L872" s="241" t="s">
        <v>209</v>
      </c>
    </row>
    <row r="873" spans="1:13" ht="24.75" customHeight="1">
      <c r="A873" s="466" t="s">
        <v>18</v>
      </c>
      <c r="B873" s="466"/>
      <c r="C873" s="466"/>
      <c r="D873" s="466"/>
      <c r="E873" s="128">
        <f>SUM(E874:E916)</f>
        <v>27.08</v>
      </c>
      <c r="F873" s="128">
        <f>SUM(F874:F916)</f>
        <v>24.79333333333333</v>
      </c>
      <c r="G873" s="128">
        <f>SUM(G874:G916)</f>
        <v>101.03999999999999</v>
      </c>
      <c r="H873" s="116">
        <f>SUM(H874:H916)</f>
        <v>734.7800000000001</v>
      </c>
      <c r="I873" s="128">
        <f>SUM(I874:I916)</f>
        <v>19.712142857142855</v>
      </c>
      <c r="J873" s="159"/>
      <c r="K873" s="15"/>
      <c r="L873" s="39" t="s">
        <v>219</v>
      </c>
      <c r="M873" s="244"/>
    </row>
    <row r="874" spans="1:11" ht="24.75" customHeight="1">
      <c r="A874" s="113" t="s">
        <v>576</v>
      </c>
      <c r="B874" s="173"/>
      <c r="C874" s="173"/>
      <c r="D874" s="41">
        <v>70</v>
      </c>
      <c r="E874" s="44">
        <v>0.4</v>
      </c>
      <c r="F874" s="44">
        <v>0</v>
      </c>
      <c r="G874" s="44">
        <v>2.1</v>
      </c>
      <c r="H874" s="45">
        <f>E874*4+F874*9+G874*4</f>
        <v>10</v>
      </c>
      <c r="I874" s="307">
        <v>12.005</v>
      </c>
      <c r="J874" s="306" t="s">
        <v>348</v>
      </c>
      <c r="K874" s="15"/>
    </row>
    <row r="875" spans="1:11" ht="24.75" customHeight="1">
      <c r="A875" s="171" t="s">
        <v>122</v>
      </c>
      <c r="B875" s="142">
        <f>C875*1.02</f>
        <v>35.7</v>
      </c>
      <c r="C875" s="153">
        <v>35</v>
      </c>
      <c r="D875" s="151"/>
      <c r="E875" s="145"/>
      <c r="F875" s="145"/>
      <c r="G875" s="145"/>
      <c r="H875" s="152"/>
      <c r="I875" s="306"/>
      <c r="J875" s="306"/>
      <c r="K875" s="15"/>
    </row>
    <row r="876" spans="1:11" ht="24.75" customHeight="1">
      <c r="A876" s="184" t="s">
        <v>227</v>
      </c>
      <c r="B876" s="187">
        <f>C876*1.18</f>
        <v>41.3</v>
      </c>
      <c r="C876" s="153">
        <v>35</v>
      </c>
      <c r="D876" s="151"/>
      <c r="E876" s="145"/>
      <c r="F876" s="145"/>
      <c r="G876" s="145"/>
      <c r="H876" s="152"/>
      <c r="I876" s="306"/>
      <c r="J876" s="306"/>
      <c r="K876" s="15"/>
    </row>
    <row r="877" spans="1:11" ht="24.75" customHeight="1">
      <c r="A877" s="184" t="s">
        <v>163</v>
      </c>
      <c r="B877" s="187">
        <f>C877*1.02</f>
        <v>35.7</v>
      </c>
      <c r="C877" s="187">
        <v>35</v>
      </c>
      <c r="D877" s="292"/>
      <c r="E877" s="144"/>
      <c r="F877" s="144"/>
      <c r="G877" s="144"/>
      <c r="H877" s="293"/>
      <c r="I877" s="317"/>
      <c r="J877" s="317"/>
      <c r="K877" s="15"/>
    </row>
    <row r="878" spans="1:11" ht="24.75" customHeight="1">
      <c r="A878" s="290" t="s">
        <v>226</v>
      </c>
      <c r="B878" s="187">
        <f>C878*1.05</f>
        <v>36.75</v>
      </c>
      <c r="C878" s="187">
        <v>35</v>
      </c>
      <c r="D878" s="292"/>
      <c r="E878" s="144"/>
      <c r="F878" s="144"/>
      <c r="G878" s="144"/>
      <c r="H878" s="293"/>
      <c r="I878" s="317"/>
      <c r="J878" s="317"/>
      <c r="K878" s="15"/>
    </row>
    <row r="879" spans="1:11" ht="24.75" customHeight="1">
      <c r="A879" s="468" t="s">
        <v>484</v>
      </c>
      <c r="B879" s="468"/>
      <c r="C879" s="468"/>
      <c r="D879" s="41" t="s">
        <v>247</v>
      </c>
      <c r="E879" s="44">
        <v>3.9</v>
      </c>
      <c r="F879" s="44">
        <v>6.2</v>
      </c>
      <c r="G879" s="44">
        <v>15.6</v>
      </c>
      <c r="H879" s="45">
        <f>E879*4+F879*9+G879*4</f>
        <v>133.8</v>
      </c>
      <c r="I879" s="306">
        <v>5.607142857142857</v>
      </c>
      <c r="J879" s="306" t="s">
        <v>380</v>
      </c>
      <c r="K879" s="15"/>
    </row>
    <row r="880" spans="1:11" ht="24.75" customHeight="1">
      <c r="A880" s="184" t="s">
        <v>21</v>
      </c>
      <c r="B880" s="187">
        <f>C880*1.33</f>
        <v>79.80000000000001</v>
      </c>
      <c r="C880" s="162">
        <v>60</v>
      </c>
      <c r="D880" s="357"/>
      <c r="E880" s="188"/>
      <c r="F880" s="188"/>
      <c r="G880" s="188"/>
      <c r="H880" s="187"/>
      <c r="I880" s="317"/>
      <c r="J880" s="317"/>
      <c r="K880" s="11"/>
    </row>
    <row r="881" spans="1:11" ht="24.75" customHeight="1">
      <c r="A881" s="123" t="s">
        <v>22</v>
      </c>
      <c r="B881" s="94">
        <f>C881*1.43</f>
        <v>85.8</v>
      </c>
      <c r="C881" s="162">
        <v>60</v>
      </c>
      <c r="D881" s="206"/>
      <c r="E881" s="140"/>
      <c r="F881" s="140"/>
      <c r="G881" s="140"/>
      <c r="H881" s="140"/>
      <c r="I881" s="140"/>
      <c r="J881" s="317"/>
      <c r="K881" s="85"/>
    </row>
    <row r="882" spans="1:11" ht="24.75" customHeight="1">
      <c r="A882" s="123" t="s">
        <v>23</v>
      </c>
      <c r="B882" s="94">
        <f>C882*1.54</f>
        <v>92.4</v>
      </c>
      <c r="C882" s="162">
        <v>60</v>
      </c>
      <c r="D882" s="206"/>
      <c r="E882" s="140"/>
      <c r="F882" s="140"/>
      <c r="G882" s="140"/>
      <c r="H882" s="94"/>
      <c r="I882" s="316"/>
      <c r="J882" s="317"/>
      <c r="K882" s="11"/>
    </row>
    <row r="883" spans="1:11" ht="24.75" customHeight="1">
      <c r="A883" s="123" t="s">
        <v>24</v>
      </c>
      <c r="B883" s="94">
        <f>C883*1.67</f>
        <v>100.19999999999999</v>
      </c>
      <c r="C883" s="162">
        <v>60</v>
      </c>
      <c r="D883" s="206"/>
      <c r="E883" s="140"/>
      <c r="F883" s="140"/>
      <c r="G883" s="140"/>
      <c r="H883" s="94"/>
      <c r="I883" s="316"/>
      <c r="J883" s="317"/>
      <c r="K883" s="11"/>
    </row>
    <row r="884" spans="1:11" ht="24.75" customHeight="1">
      <c r="A884" s="123" t="s">
        <v>25</v>
      </c>
      <c r="B884" s="140">
        <f>C884*1.25</f>
        <v>12.5</v>
      </c>
      <c r="C884" s="112">
        <v>10</v>
      </c>
      <c r="D884" s="206"/>
      <c r="E884" s="140"/>
      <c r="F884" s="140"/>
      <c r="G884" s="140"/>
      <c r="H884" s="94"/>
      <c r="I884" s="316"/>
      <c r="J884" s="317"/>
      <c r="K884" s="11"/>
    </row>
    <row r="885" spans="1:11" ht="24.75" customHeight="1">
      <c r="A885" s="123" t="s">
        <v>19</v>
      </c>
      <c r="B885" s="140">
        <f>C885*1.33</f>
        <v>13.3</v>
      </c>
      <c r="C885" s="112">
        <v>10</v>
      </c>
      <c r="D885" s="206"/>
      <c r="E885" s="140"/>
      <c r="F885" s="140"/>
      <c r="G885" s="140"/>
      <c r="H885" s="94"/>
      <c r="I885" s="316"/>
      <c r="J885" s="317"/>
      <c r="K885" s="11"/>
    </row>
    <row r="886" spans="1:11" ht="24.75" customHeight="1">
      <c r="A886" s="123" t="s">
        <v>26</v>
      </c>
      <c r="B886" s="94">
        <f>C886*1.19</f>
        <v>11.899999999999999</v>
      </c>
      <c r="C886" s="112">
        <v>10</v>
      </c>
      <c r="D886" s="206"/>
      <c r="E886" s="140"/>
      <c r="F886" s="140"/>
      <c r="G886" s="140"/>
      <c r="H886" s="94"/>
      <c r="I886" s="316"/>
      <c r="J886" s="317"/>
      <c r="K886" s="11"/>
    </row>
    <row r="887" spans="1:11" ht="24.75" customHeight="1">
      <c r="A887" s="123" t="s">
        <v>46</v>
      </c>
      <c r="B887" s="94">
        <f>C887*1.25</f>
        <v>25</v>
      </c>
      <c r="C887" s="112">
        <v>20</v>
      </c>
      <c r="D887" s="206"/>
      <c r="E887" s="140"/>
      <c r="F887" s="140"/>
      <c r="G887" s="140"/>
      <c r="H887" s="94"/>
      <c r="I887" s="316"/>
      <c r="J887" s="317"/>
      <c r="K887" s="14"/>
    </row>
    <row r="888" spans="1:11" ht="24.75" customHeight="1">
      <c r="A888" s="141" t="s">
        <v>145</v>
      </c>
      <c r="B888" s="112">
        <v>31</v>
      </c>
      <c r="C888" s="112">
        <v>30</v>
      </c>
      <c r="D888" s="206"/>
      <c r="E888" s="140"/>
      <c r="F888" s="140"/>
      <c r="G888" s="140"/>
      <c r="H888" s="94"/>
      <c r="I888" s="316"/>
      <c r="J888" s="317"/>
      <c r="K888" s="14"/>
    </row>
    <row r="889" spans="1:11" ht="24.75" customHeight="1">
      <c r="A889" s="172" t="s">
        <v>40</v>
      </c>
      <c r="B889" s="94">
        <f>C889*1.54</f>
        <v>11.55</v>
      </c>
      <c r="C889" s="112">
        <v>7.5</v>
      </c>
      <c r="D889" s="206"/>
      <c r="E889" s="140"/>
      <c r="F889" s="140"/>
      <c r="G889" s="140"/>
      <c r="H889" s="94"/>
      <c r="I889" s="316"/>
      <c r="J889" s="317"/>
      <c r="K889" s="58"/>
    </row>
    <row r="890" spans="1:11" ht="24.75" customHeight="1">
      <c r="A890" s="123" t="s">
        <v>27</v>
      </c>
      <c r="B890" s="112">
        <v>6</v>
      </c>
      <c r="C890" s="112">
        <v>6</v>
      </c>
      <c r="D890" s="206"/>
      <c r="E890" s="140"/>
      <c r="F890" s="140"/>
      <c r="G890" s="140"/>
      <c r="H890" s="94"/>
      <c r="I890" s="316"/>
      <c r="J890" s="317"/>
      <c r="K890" s="58"/>
    </row>
    <row r="891" spans="1:11" ht="24.75" customHeight="1">
      <c r="A891" s="121" t="s">
        <v>205</v>
      </c>
      <c r="B891" s="112"/>
      <c r="C891" s="43">
        <v>20</v>
      </c>
      <c r="D891" s="112"/>
      <c r="E891" s="140"/>
      <c r="F891" s="140"/>
      <c r="G891" s="140"/>
      <c r="H891" s="94"/>
      <c r="I891" s="316"/>
      <c r="J891" s="317"/>
      <c r="K891" s="10"/>
    </row>
    <row r="892" spans="1:11" ht="24.75" customHeight="1">
      <c r="A892" s="117" t="s">
        <v>69</v>
      </c>
      <c r="B892" s="219">
        <f>C892*1.18</f>
        <v>27.139999999999997</v>
      </c>
      <c r="C892" s="183">
        <v>23</v>
      </c>
      <c r="D892" s="94"/>
      <c r="E892" s="112"/>
      <c r="F892" s="140"/>
      <c r="G892" s="140"/>
      <c r="H892" s="94"/>
      <c r="I892" s="316"/>
      <c r="J892" s="317"/>
      <c r="K892" s="14"/>
    </row>
    <row r="893" spans="1:11" ht="24.75" customHeight="1">
      <c r="A893" s="195" t="s">
        <v>73</v>
      </c>
      <c r="B893" s="196">
        <f>C893*1.36</f>
        <v>31.28</v>
      </c>
      <c r="C893" s="183">
        <v>23</v>
      </c>
      <c r="D893" s="94"/>
      <c r="E893" s="112"/>
      <c r="F893" s="140"/>
      <c r="G893" s="140"/>
      <c r="H893" s="94"/>
      <c r="I893" s="316"/>
      <c r="J893" s="317"/>
      <c r="K893" s="14"/>
    </row>
    <row r="894" spans="1:11" ht="24.75" customHeight="1">
      <c r="A894" s="394" t="s">
        <v>414</v>
      </c>
      <c r="B894" s="196">
        <f>C894</f>
        <v>23</v>
      </c>
      <c r="C894" s="183">
        <v>23</v>
      </c>
      <c r="D894" s="94"/>
      <c r="E894" s="112"/>
      <c r="F894" s="140"/>
      <c r="G894" s="140"/>
      <c r="H894" s="94"/>
      <c r="I894" s="316"/>
      <c r="J894" s="317"/>
      <c r="K894" s="14"/>
    </row>
    <row r="895" spans="1:11" ht="24.75" customHeight="1">
      <c r="A895" s="123" t="s">
        <v>26</v>
      </c>
      <c r="B895" s="140">
        <f>C895*1.19</f>
        <v>2.38</v>
      </c>
      <c r="C895" s="183">
        <v>2</v>
      </c>
      <c r="D895" s="94"/>
      <c r="E895" s="145"/>
      <c r="F895" s="145"/>
      <c r="G895" s="145"/>
      <c r="H895" s="94"/>
      <c r="I895" s="316"/>
      <c r="J895" s="317"/>
      <c r="K895" s="14"/>
    </row>
    <row r="896" spans="1:11" ht="24.75" customHeight="1">
      <c r="A896" s="115" t="s">
        <v>29</v>
      </c>
      <c r="B896" s="112">
        <v>2</v>
      </c>
      <c r="C896" s="112">
        <v>2</v>
      </c>
      <c r="D896" s="94"/>
      <c r="E896" s="112"/>
      <c r="F896" s="140"/>
      <c r="G896" s="140"/>
      <c r="H896" s="94"/>
      <c r="I896" s="316"/>
      <c r="J896" s="317"/>
      <c r="K896" s="14"/>
    </row>
    <row r="897" spans="1:11" ht="24.75" customHeight="1">
      <c r="A897" s="123" t="s">
        <v>70</v>
      </c>
      <c r="B897" s="94">
        <v>3</v>
      </c>
      <c r="C897" s="112">
        <v>2</v>
      </c>
      <c r="D897" s="112"/>
      <c r="E897" s="112"/>
      <c r="F897" s="140"/>
      <c r="G897" s="140"/>
      <c r="H897" s="94"/>
      <c r="I897" s="316"/>
      <c r="J897" s="317"/>
      <c r="K897" s="13"/>
    </row>
    <row r="898" spans="1:11" ht="24.75" customHeight="1">
      <c r="A898" s="46" t="s">
        <v>449</v>
      </c>
      <c r="B898" s="41"/>
      <c r="C898" s="41"/>
      <c r="D898" s="41">
        <v>260</v>
      </c>
      <c r="E898" s="145">
        <v>13.6</v>
      </c>
      <c r="F898" s="145">
        <v>16.9</v>
      </c>
      <c r="G898" s="145">
        <v>19.7</v>
      </c>
      <c r="H898" s="152">
        <f>E898*4+F898*9+G898*4</f>
        <v>285.3</v>
      </c>
      <c r="I898" s="306">
        <v>1.7</v>
      </c>
      <c r="J898" s="306" t="s">
        <v>348</v>
      </c>
      <c r="K898" s="14"/>
    </row>
    <row r="899" spans="1:11" ht="24.75" customHeight="1">
      <c r="A899" s="234" t="s">
        <v>426</v>
      </c>
      <c r="B899" s="219">
        <f>C899*1.48</f>
        <v>121.36</v>
      </c>
      <c r="C899" s="112">
        <v>82</v>
      </c>
      <c r="D899" s="112"/>
      <c r="E899" s="140"/>
      <c r="F899" s="140"/>
      <c r="G899" s="140"/>
      <c r="H899" s="94"/>
      <c r="I899" s="316"/>
      <c r="J899" s="317"/>
      <c r="K899" s="14"/>
    </row>
    <row r="900" spans="1:11" ht="24.75" customHeight="1">
      <c r="A900" s="158" t="s">
        <v>425</v>
      </c>
      <c r="B900" s="219">
        <f>C900*1.054</f>
        <v>86.428</v>
      </c>
      <c r="C900" s="112">
        <v>82</v>
      </c>
      <c r="D900" s="112"/>
      <c r="E900" s="140"/>
      <c r="F900" s="140"/>
      <c r="G900" s="140"/>
      <c r="H900" s="140"/>
      <c r="I900" s="140"/>
      <c r="J900" s="140"/>
      <c r="K900" s="14"/>
    </row>
    <row r="901" spans="1:11" ht="24.75" customHeight="1">
      <c r="A901" s="158" t="s">
        <v>427</v>
      </c>
      <c r="B901" s="219">
        <f>C901*1.054</f>
        <v>86.428</v>
      </c>
      <c r="C901" s="112">
        <v>82</v>
      </c>
      <c r="D901" s="112"/>
      <c r="E901" s="140"/>
      <c r="F901" s="140"/>
      <c r="G901" s="140"/>
      <c r="H901" s="94"/>
      <c r="I901" s="316"/>
      <c r="J901" s="317"/>
      <c r="K901" s="14"/>
    </row>
    <row r="902" spans="1:11" ht="24.75" customHeight="1">
      <c r="A902" s="115" t="s">
        <v>220</v>
      </c>
      <c r="B902" s="94"/>
      <c r="C902" s="112">
        <v>60</v>
      </c>
      <c r="D902" s="112"/>
      <c r="E902" s="140"/>
      <c r="F902" s="140"/>
      <c r="G902" s="140"/>
      <c r="H902" s="94"/>
      <c r="I902" s="316"/>
      <c r="J902" s="317"/>
      <c r="K902" s="14"/>
    </row>
    <row r="903" spans="1:11" ht="24.75" customHeight="1">
      <c r="A903" s="123" t="s">
        <v>25</v>
      </c>
      <c r="B903" s="94">
        <f>C903*1.25</f>
        <v>25</v>
      </c>
      <c r="C903" s="94">
        <v>20</v>
      </c>
      <c r="D903" s="45"/>
      <c r="E903" s="45"/>
      <c r="F903" s="50"/>
      <c r="G903" s="50"/>
      <c r="H903" s="42"/>
      <c r="I903" s="307"/>
      <c r="J903" s="306"/>
      <c r="K903" s="14"/>
    </row>
    <row r="904" spans="1:10" ht="24.75" customHeight="1">
      <c r="A904" s="123" t="s">
        <v>19</v>
      </c>
      <c r="B904" s="94">
        <f>C904*1.33</f>
        <v>26.6</v>
      </c>
      <c r="C904" s="94">
        <v>20</v>
      </c>
      <c r="D904" s="45"/>
      <c r="E904" s="45"/>
      <c r="F904" s="50"/>
      <c r="G904" s="50"/>
      <c r="H904" s="42"/>
      <c r="I904" s="307"/>
      <c r="J904" s="306"/>
    </row>
    <row r="905" spans="1:10" ht="24.75" customHeight="1">
      <c r="A905" s="184" t="s">
        <v>21</v>
      </c>
      <c r="B905" s="187">
        <f>C905*1.33</f>
        <v>199.5</v>
      </c>
      <c r="C905" s="163">
        <v>150</v>
      </c>
      <c r="D905" s="45"/>
      <c r="E905" s="151"/>
      <c r="F905" s="145"/>
      <c r="G905" s="145"/>
      <c r="H905" s="152"/>
      <c r="I905" s="306"/>
      <c r="J905" s="306"/>
    </row>
    <row r="906" spans="1:10" ht="24.75" customHeight="1">
      <c r="A906" s="123" t="s">
        <v>22</v>
      </c>
      <c r="B906" s="94">
        <f>C906*1.43</f>
        <v>214.5</v>
      </c>
      <c r="C906" s="163">
        <v>150</v>
      </c>
      <c r="D906" s="45"/>
      <c r="E906" s="41"/>
      <c r="F906" s="41"/>
      <c r="G906" s="45"/>
      <c r="H906" s="45"/>
      <c r="I906" s="307"/>
      <c r="J906" s="306"/>
    </row>
    <row r="907" spans="1:10" ht="24.75" customHeight="1">
      <c r="A907" s="123" t="s">
        <v>23</v>
      </c>
      <c r="B907" s="94">
        <f>C907*1.54</f>
        <v>231</v>
      </c>
      <c r="C907" s="163">
        <v>150</v>
      </c>
      <c r="D907" s="45"/>
      <c r="E907" s="44"/>
      <c r="F907" s="44"/>
      <c r="G907" s="44"/>
      <c r="H907" s="45"/>
      <c r="I907" s="307"/>
      <c r="J907" s="306"/>
    </row>
    <row r="908" spans="1:10" ht="24.75" customHeight="1">
      <c r="A908" s="123" t="s">
        <v>24</v>
      </c>
      <c r="B908" s="94">
        <f>C908*1.67</f>
        <v>250.5</v>
      </c>
      <c r="C908" s="163">
        <v>150</v>
      </c>
      <c r="D908" s="45"/>
      <c r="E908" s="41"/>
      <c r="F908" s="44"/>
      <c r="G908" s="44"/>
      <c r="H908" s="45"/>
      <c r="I908" s="307"/>
      <c r="J908" s="306"/>
    </row>
    <row r="909" spans="1:10" ht="24.75" customHeight="1">
      <c r="A909" s="115" t="s">
        <v>26</v>
      </c>
      <c r="B909" s="94">
        <f>C909*1.19</f>
        <v>23.799999999999997</v>
      </c>
      <c r="C909" s="55">
        <v>20</v>
      </c>
      <c r="D909" s="45"/>
      <c r="E909" s="41"/>
      <c r="F909" s="44"/>
      <c r="G909" s="44"/>
      <c r="H909" s="45"/>
      <c r="I909" s="307"/>
      <c r="J909" s="306"/>
    </row>
    <row r="910" spans="1:10" ht="24.75" customHeight="1">
      <c r="A910" s="171" t="s">
        <v>421</v>
      </c>
      <c r="B910" s="48">
        <v>4</v>
      </c>
      <c r="C910" s="48">
        <v>4</v>
      </c>
      <c r="D910" s="45"/>
      <c r="E910" s="396"/>
      <c r="F910" s="396"/>
      <c r="G910" s="396"/>
      <c r="H910" s="397"/>
      <c r="I910" s="297"/>
      <c r="J910" s="297"/>
    </row>
    <row r="911" spans="1:11" ht="24.75" customHeight="1">
      <c r="A911" s="123" t="s">
        <v>27</v>
      </c>
      <c r="B911" s="55">
        <v>6</v>
      </c>
      <c r="C911" s="55">
        <v>6</v>
      </c>
      <c r="D911" s="45"/>
      <c r="E911" s="41"/>
      <c r="F911" s="44"/>
      <c r="G911" s="44"/>
      <c r="H911" s="45"/>
      <c r="I911" s="307"/>
      <c r="J911" s="306"/>
      <c r="K911" s="3"/>
    </row>
    <row r="912" spans="1:11" ht="24.75" customHeight="1">
      <c r="A912" s="468" t="s">
        <v>71</v>
      </c>
      <c r="B912" s="468"/>
      <c r="C912" s="468"/>
      <c r="D912" s="41">
        <v>200</v>
      </c>
      <c r="E912" s="145">
        <v>0.3</v>
      </c>
      <c r="F912" s="145">
        <v>0.13333333333333333</v>
      </c>
      <c r="G912" s="145">
        <v>20.8</v>
      </c>
      <c r="H912" s="45">
        <f>E912*4+F912*9+G912*4</f>
        <v>85.60000000000001</v>
      </c>
      <c r="I912" s="307">
        <v>0.4</v>
      </c>
      <c r="J912" s="306" t="s">
        <v>360</v>
      </c>
      <c r="K912" s="14"/>
    </row>
    <row r="913" spans="1:11" ht="24.75" customHeight="1">
      <c r="A913" s="123" t="s">
        <v>43</v>
      </c>
      <c r="B913" s="112">
        <v>25</v>
      </c>
      <c r="C913" s="112">
        <v>25</v>
      </c>
      <c r="D913" s="41"/>
      <c r="E913" s="145"/>
      <c r="F913" s="145"/>
      <c r="G913" s="145"/>
      <c r="H913" s="152"/>
      <c r="I913" s="306"/>
      <c r="J913" s="306"/>
      <c r="K913" s="14"/>
    </row>
    <row r="914" spans="1:11" ht="24.75" customHeight="1">
      <c r="A914" s="184" t="s">
        <v>12</v>
      </c>
      <c r="B914" s="183">
        <v>10</v>
      </c>
      <c r="C914" s="183">
        <v>10</v>
      </c>
      <c r="D914" s="183"/>
      <c r="E914" s="188"/>
      <c r="F914" s="188"/>
      <c r="G914" s="188"/>
      <c r="H914" s="187"/>
      <c r="I914" s="317"/>
      <c r="J914" s="317"/>
      <c r="K914" s="14"/>
    </row>
    <row r="915" spans="1:11" ht="24.75" customHeight="1">
      <c r="A915" s="461" t="s">
        <v>258</v>
      </c>
      <c r="B915" s="461"/>
      <c r="C915" s="461"/>
      <c r="D915" s="151">
        <v>60</v>
      </c>
      <c r="E915" s="145">
        <v>4.92</v>
      </c>
      <c r="F915" s="145">
        <v>0.8400000000000001</v>
      </c>
      <c r="G915" s="145">
        <v>22.8</v>
      </c>
      <c r="H915" s="152">
        <v>117.6</v>
      </c>
      <c r="I915" s="306">
        <v>0</v>
      </c>
      <c r="J915" s="306"/>
      <c r="K915" s="10"/>
    </row>
    <row r="916" spans="1:11" ht="24.75" customHeight="1">
      <c r="A916" s="461" t="s">
        <v>72</v>
      </c>
      <c r="B916" s="461"/>
      <c r="C916" s="461"/>
      <c r="D916" s="151">
        <v>60</v>
      </c>
      <c r="E916" s="145">
        <v>3.96</v>
      </c>
      <c r="F916" s="145">
        <v>0.72</v>
      </c>
      <c r="G916" s="145">
        <v>20.04</v>
      </c>
      <c r="H916" s="152">
        <v>102.48</v>
      </c>
      <c r="I916" s="306">
        <v>0</v>
      </c>
      <c r="J916" s="306"/>
      <c r="K916" s="10"/>
    </row>
    <row r="917" spans="1:11" ht="39.75" customHeight="1">
      <c r="A917" s="466" t="s">
        <v>61</v>
      </c>
      <c r="B917" s="466"/>
      <c r="C917" s="466"/>
      <c r="D917" s="466"/>
      <c r="E917" s="128">
        <f>SUM(E918:E919)</f>
        <v>1.7000000000000002</v>
      </c>
      <c r="F917" s="128">
        <f>SUM(F918:F919)</f>
        <v>2.5</v>
      </c>
      <c r="G917" s="128">
        <f>SUM(G918:G919)</f>
        <v>64.8</v>
      </c>
      <c r="H917" s="116">
        <f>SUM(H918:H919)</f>
        <v>288.5</v>
      </c>
      <c r="I917" s="128">
        <f>SUM(I918:I919)</f>
        <v>19</v>
      </c>
      <c r="J917" s="159"/>
      <c r="K917" s="281"/>
    </row>
    <row r="918" spans="1:11" ht="24.75" customHeight="1">
      <c r="A918" s="482" t="s">
        <v>265</v>
      </c>
      <c r="B918" s="482"/>
      <c r="C918" s="482"/>
      <c r="D918" s="151">
        <v>30</v>
      </c>
      <c r="E918" s="145">
        <v>1.6</v>
      </c>
      <c r="F918" s="145">
        <v>2.5</v>
      </c>
      <c r="G918" s="145">
        <v>42.8</v>
      </c>
      <c r="H918" s="152">
        <f>E918*4+F918*9+G918*4</f>
        <v>200.1</v>
      </c>
      <c r="I918" s="306">
        <v>0</v>
      </c>
      <c r="J918" s="306"/>
      <c r="K918" s="281"/>
    </row>
    <row r="919" spans="1:11" ht="71.25" customHeight="1">
      <c r="A919" s="482" t="s">
        <v>504</v>
      </c>
      <c r="B919" s="482"/>
      <c r="C919" s="482"/>
      <c r="D919" s="143">
        <v>200</v>
      </c>
      <c r="E919" s="143">
        <v>0.1</v>
      </c>
      <c r="F919" s="144">
        <v>0</v>
      </c>
      <c r="G919" s="144">
        <v>22</v>
      </c>
      <c r="H919" s="152">
        <f>E919*4+F919*9+G919*4</f>
        <v>88.4</v>
      </c>
      <c r="I919" s="317">
        <v>19</v>
      </c>
      <c r="J919" s="317" t="s">
        <v>503</v>
      </c>
      <c r="K919" s="281"/>
    </row>
    <row r="920" spans="1:11" ht="24.75" customHeight="1">
      <c r="A920" s="466" t="s">
        <v>30</v>
      </c>
      <c r="B920" s="466"/>
      <c r="C920" s="466"/>
      <c r="D920" s="466"/>
      <c r="E920" s="128">
        <f>E921+E931+E943+E867+E954+E955+E957</f>
        <v>15.75</v>
      </c>
      <c r="F920" s="128">
        <f>F921+F931+F943+F867+F954+F955+F957</f>
        <v>20.090000000000003</v>
      </c>
      <c r="G920" s="128">
        <f>G921+G931+G943+G867+G954+G955+G957</f>
        <v>60.440000000000005</v>
      </c>
      <c r="H920" s="116">
        <f>H921+H931+H943+H867+H954+H955+H957</f>
        <v>481.57</v>
      </c>
      <c r="I920" s="128">
        <f>I921+I931+I943+I867+I954+I955+I957</f>
        <v>70.69749999999999</v>
      </c>
      <c r="J920" s="159"/>
      <c r="K920" s="207"/>
    </row>
    <row r="921" spans="1:11" ht="24.75" customHeight="1">
      <c r="A921" s="468" t="s">
        <v>288</v>
      </c>
      <c r="B921" s="468"/>
      <c r="C921" s="468"/>
      <c r="D921" s="41">
        <v>70</v>
      </c>
      <c r="E921" s="44">
        <v>0.4</v>
      </c>
      <c r="F921" s="44">
        <v>4</v>
      </c>
      <c r="G921" s="44">
        <v>3.2</v>
      </c>
      <c r="H921" s="45">
        <f>E921*4+F921*9+G921*4</f>
        <v>50.400000000000006</v>
      </c>
      <c r="I921" s="44">
        <v>58</v>
      </c>
      <c r="J921" s="306" t="s">
        <v>348</v>
      </c>
      <c r="K921" s="207"/>
    </row>
    <row r="922" spans="1:11" ht="24.75" customHeight="1">
      <c r="A922" s="115" t="s">
        <v>289</v>
      </c>
      <c r="B922" s="42">
        <f>C922*1.18</f>
        <v>37.76</v>
      </c>
      <c r="C922" s="16">
        <v>32</v>
      </c>
      <c r="D922" s="170"/>
      <c r="E922" s="47"/>
      <c r="F922" s="47"/>
      <c r="G922" s="47"/>
      <c r="H922" s="99"/>
      <c r="I922" s="128"/>
      <c r="J922" s="159"/>
      <c r="K922" s="207"/>
    </row>
    <row r="923" spans="1:11" ht="24.75" customHeight="1">
      <c r="A923" s="172" t="s">
        <v>222</v>
      </c>
      <c r="B923" s="42">
        <f>C923*1.02</f>
        <v>32.64</v>
      </c>
      <c r="C923" s="16">
        <v>32</v>
      </c>
      <c r="D923" s="170"/>
      <c r="E923" s="47"/>
      <c r="F923" s="47"/>
      <c r="G923" s="47"/>
      <c r="H923" s="99"/>
      <c r="I923" s="128"/>
      <c r="J923" s="159"/>
      <c r="K923" s="208"/>
    </row>
    <row r="924" spans="1:11" ht="24.75" customHeight="1">
      <c r="A924" s="129" t="s">
        <v>170</v>
      </c>
      <c r="B924" s="42">
        <f>C924*1.33</f>
        <v>42.56</v>
      </c>
      <c r="C924" s="16">
        <v>32</v>
      </c>
      <c r="D924" s="170"/>
      <c r="E924" s="47"/>
      <c r="F924" s="47"/>
      <c r="G924" s="47"/>
      <c r="H924" s="99"/>
      <c r="I924" s="128"/>
      <c r="J924" s="159"/>
      <c r="K924" s="208"/>
    </row>
    <row r="925" spans="1:11" ht="24.75" customHeight="1">
      <c r="A925" s="115" t="s">
        <v>290</v>
      </c>
      <c r="B925" s="50">
        <f>C925*1.35</f>
        <v>2.0250000000000004</v>
      </c>
      <c r="C925" s="16">
        <v>1.5</v>
      </c>
      <c r="D925" s="170"/>
      <c r="E925" s="47"/>
      <c r="F925" s="47"/>
      <c r="G925" s="47"/>
      <c r="H925" s="99"/>
      <c r="I925" s="128"/>
      <c r="J925" s="159"/>
      <c r="K925" s="14"/>
    </row>
    <row r="926" spans="1:24" ht="24.75" customHeight="1">
      <c r="A926" s="115" t="s">
        <v>291</v>
      </c>
      <c r="B926" s="50">
        <f>C926*1.35</f>
        <v>2.0250000000000004</v>
      </c>
      <c r="C926" s="16">
        <v>1.5</v>
      </c>
      <c r="D926" s="170"/>
      <c r="E926" s="47"/>
      <c r="F926" s="47"/>
      <c r="G926" s="47"/>
      <c r="H926" s="99"/>
      <c r="I926" s="128"/>
      <c r="J926" s="159"/>
      <c r="K926" s="14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</row>
    <row r="927" spans="1:11" ht="24.75" customHeight="1">
      <c r="A927" s="115" t="s">
        <v>118</v>
      </c>
      <c r="B927" s="50">
        <f>C927*1.28</f>
        <v>0.8959999999999999</v>
      </c>
      <c r="C927" s="16">
        <v>0.7</v>
      </c>
      <c r="D927" s="170"/>
      <c r="E927" s="47"/>
      <c r="F927" s="47"/>
      <c r="G927" s="47"/>
      <c r="H927" s="99"/>
      <c r="I927" s="128"/>
      <c r="J927" s="159"/>
      <c r="K927" s="14"/>
    </row>
    <row r="928" spans="1:10" ht="24.75" customHeight="1">
      <c r="A928" s="139" t="s">
        <v>12</v>
      </c>
      <c r="B928" s="153">
        <v>1.5</v>
      </c>
      <c r="C928" s="153">
        <v>1.5</v>
      </c>
      <c r="D928" s="353"/>
      <c r="E928" s="344"/>
      <c r="F928" s="344"/>
      <c r="G928" s="344"/>
      <c r="H928" s="345"/>
      <c r="I928" s="159"/>
      <c r="J928" s="159"/>
    </row>
    <row r="929" spans="1:10" ht="24.75" customHeight="1">
      <c r="A929" s="115" t="s">
        <v>292</v>
      </c>
      <c r="B929" s="50">
        <f>C929*2.38</f>
        <v>3.57</v>
      </c>
      <c r="C929" s="16">
        <v>1.5</v>
      </c>
      <c r="D929" s="170"/>
      <c r="E929" s="47"/>
      <c r="F929" s="47"/>
      <c r="G929" s="47"/>
      <c r="H929" s="99"/>
      <c r="I929" s="128"/>
      <c r="J929" s="159"/>
    </row>
    <row r="930" spans="1:10" ht="24.75" customHeight="1">
      <c r="A930" s="123" t="s">
        <v>20</v>
      </c>
      <c r="B930" s="153">
        <v>4</v>
      </c>
      <c r="C930" s="153">
        <v>4</v>
      </c>
      <c r="D930" s="170"/>
      <c r="E930" s="344"/>
      <c r="F930" s="344"/>
      <c r="G930" s="344"/>
      <c r="H930" s="345"/>
      <c r="I930" s="128"/>
      <c r="J930" s="159"/>
    </row>
    <row r="931" spans="1:10" ht="24.75" customHeight="1">
      <c r="A931" s="468" t="s">
        <v>450</v>
      </c>
      <c r="B931" s="468"/>
      <c r="C931" s="468"/>
      <c r="D931" s="151" t="s">
        <v>453</v>
      </c>
      <c r="E931" s="145">
        <v>7.1</v>
      </c>
      <c r="F931" s="145">
        <v>9</v>
      </c>
      <c r="G931" s="145">
        <v>4.7</v>
      </c>
      <c r="H931" s="152">
        <f>G931*4+F931*9+E931*4</f>
        <v>128.2</v>
      </c>
      <c r="I931" s="145">
        <v>1.6</v>
      </c>
      <c r="J931" s="362" t="s">
        <v>452</v>
      </c>
    </row>
    <row r="932" spans="1:11" ht="24.75" customHeight="1">
      <c r="A932" s="158" t="s">
        <v>62</v>
      </c>
      <c r="B932" s="247">
        <f>C932*1.35</f>
        <v>48.6</v>
      </c>
      <c r="C932" s="16">
        <v>36</v>
      </c>
      <c r="D932" s="42"/>
      <c r="E932" s="50"/>
      <c r="F932" s="50"/>
      <c r="G932" s="50"/>
      <c r="H932" s="42"/>
      <c r="I932" s="385"/>
      <c r="J932" s="385"/>
      <c r="K932" s="14"/>
    </row>
    <row r="933" spans="1:11" ht="24.75" customHeight="1">
      <c r="A933" s="158" t="s">
        <v>74</v>
      </c>
      <c r="B933" s="23">
        <f>C933*1.18</f>
        <v>42.48</v>
      </c>
      <c r="C933" s="16">
        <v>36</v>
      </c>
      <c r="D933" s="42"/>
      <c r="E933" s="50"/>
      <c r="F933" s="50"/>
      <c r="G933" s="50"/>
      <c r="H933" s="42"/>
      <c r="I933" s="385"/>
      <c r="J933" s="385"/>
      <c r="K933" s="14"/>
    </row>
    <row r="934" spans="1:11" ht="24.75" customHeight="1">
      <c r="A934" s="234" t="s">
        <v>414</v>
      </c>
      <c r="B934" s="380">
        <f>C934</f>
        <v>36</v>
      </c>
      <c r="C934" s="157">
        <v>36</v>
      </c>
      <c r="D934" s="42"/>
      <c r="E934" s="50"/>
      <c r="F934" s="50"/>
      <c r="G934" s="50"/>
      <c r="H934" s="42"/>
      <c r="I934" s="385"/>
      <c r="J934" s="383"/>
      <c r="K934" s="14"/>
    </row>
    <row r="935" spans="1:11" ht="24.75" customHeight="1">
      <c r="A935" s="115" t="s">
        <v>31</v>
      </c>
      <c r="B935" s="50">
        <v>4.5</v>
      </c>
      <c r="C935" s="50">
        <v>4.5</v>
      </c>
      <c r="D935" s="50"/>
      <c r="E935" s="50"/>
      <c r="F935" s="50"/>
      <c r="G935" s="50"/>
      <c r="H935" s="42"/>
      <c r="I935" s="385"/>
      <c r="J935" s="383"/>
      <c r="K935" s="14"/>
    </row>
    <row r="936" spans="1:11" ht="24.75" customHeight="1">
      <c r="A936" s="115" t="s">
        <v>26</v>
      </c>
      <c r="B936" s="142">
        <f>C936*1.19</f>
        <v>7.14</v>
      </c>
      <c r="C936" s="42">
        <v>6</v>
      </c>
      <c r="D936" s="50"/>
      <c r="E936" s="50"/>
      <c r="F936" s="50"/>
      <c r="G936" s="50"/>
      <c r="H936" s="42"/>
      <c r="I936" s="385"/>
      <c r="J936" s="383"/>
      <c r="K936" s="14"/>
    </row>
    <row r="937" spans="1:10" ht="24.75" customHeight="1">
      <c r="A937" s="115" t="s">
        <v>46</v>
      </c>
      <c r="B937" s="142">
        <f>C937*1.25</f>
        <v>68.75</v>
      </c>
      <c r="C937" s="16">
        <v>55</v>
      </c>
      <c r="D937" s="50"/>
      <c r="E937" s="50"/>
      <c r="F937" s="50"/>
      <c r="G937" s="44"/>
      <c r="H937" s="45"/>
      <c r="I937" s="383"/>
      <c r="J937" s="383"/>
    </row>
    <row r="938" spans="1:11" ht="24.75" customHeight="1">
      <c r="A938" s="115" t="s">
        <v>20</v>
      </c>
      <c r="B938" s="42">
        <v>6</v>
      </c>
      <c r="C938" s="42">
        <v>6</v>
      </c>
      <c r="D938" s="42"/>
      <c r="E938" s="50"/>
      <c r="F938" s="50"/>
      <c r="G938" s="50"/>
      <c r="H938" s="42"/>
      <c r="I938" s="383"/>
      <c r="J938" s="399"/>
      <c r="K938" s="14"/>
    </row>
    <row r="939" spans="1:24" s="165" customFormat="1" ht="24.75" customHeight="1">
      <c r="A939" s="125" t="s">
        <v>451</v>
      </c>
      <c r="B939" s="41"/>
      <c r="C939" s="41">
        <v>50</v>
      </c>
      <c r="D939" s="16"/>
      <c r="E939" s="50"/>
      <c r="F939" s="50"/>
      <c r="G939" s="50"/>
      <c r="H939" s="42"/>
      <c r="I939" s="383"/>
      <c r="J939" s="383"/>
      <c r="K939" s="131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</row>
    <row r="940" spans="1:11" ht="24.75" customHeight="1">
      <c r="A940" s="115" t="s">
        <v>28</v>
      </c>
      <c r="B940" s="16">
        <v>2.5</v>
      </c>
      <c r="C940" s="16">
        <v>2.5</v>
      </c>
      <c r="D940" s="16"/>
      <c r="E940" s="50"/>
      <c r="F940" s="50"/>
      <c r="G940" s="50"/>
      <c r="H940" s="42"/>
      <c r="I940" s="399"/>
      <c r="J940" s="385"/>
      <c r="K940" s="14"/>
    </row>
    <row r="941" spans="1:11" ht="24.75" customHeight="1">
      <c r="A941" s="115" t="s">
        <v>95</v>
      </c>
      <c r="B941" s="16">
        <v>10</v>
      </c>
      <c r="C941" s="16">
        <v>10</v>
      </c>
      <c r="D941" s="16"/>
      <c r="E941" s="50"/>
      <c r="F941" s="50"/>
      <c r="G941" s="50"/>
      <c r="H941" s="42"/>
      <c r="I941" s="383"/>
      <c r="J941" s="385"/>
      <c r="K941" s="14"/>
    </row>
    <row r="942" spans="1:10" ht="24.75" customHeight="1">
      <c r="A942" s="115" t="s">
        <v>27</v>
      </c>
      <c r="B942" s="48">
        <v>2.5</v>
      </c>
      <c r="C942" s="48">
        <v>2.5</v>
      </c>
      <c r="D942" s="16"/>
      <c r="E942" s="50"/>
      <c r="F942" s="50"/>
      <c r="G942" s="50"/>
      <c r="H942" s="42"/>
      <c r="I942" s="383"/>
      <c r="J942" s="385"/>
    </row>
    <row r="943" spans="1:11" ht="24.75" customHeight="1">
      <c r="A943" s="468" t="s">
        <v>146</v>
      </c>
      <c r="B943" s="468"/>
      <c r="C943" s="468"/>
      <c r="D943" s="41" t="s">
        <v>539</v>
      </c>
      <c r="E943" s="44">
        <v>2.6</v>
      </c>
      <c r="F943" s="44">
        <v>3.1</v>
      </c>
      <c r="G943" s="44">
        <v>20.5</v>
      </c>
      <c r="H943" s="45">
        <f>E943*4+F943*9+G943*4</f>
        <v>120.30000000000001</v>
      </c>
      <c r="I943" s="307">
        <v>9.277499999999998</v>
      </c>
      <c r="J943" s="306" t="s">
        <v>373</v>
      </c>
      <c r="K943" s="14"/>
    </row>
    <row r="944" spans="1:11" ht="24.75" customHeight="1">
      <c r="A944" s="139" t="s">
        <v>21</v>
      </c>
      <c r="B944" s="187">
        <f>C944*1.33</f>
        <v>199.5</v>
      </c>
      <c r="C944" s="142">
        <v>150</v>
      </c>
      <c r="D944" s="153"/>
      <c r="E944" s="161"/>
      <c r="F944" s="161"/>
      <c r="G944" s="161"/>
      <c r="H944" s="142"/>
      <c r="I944" s="306"/>
      <c r="J944" s="306"/>
      <c r="K944" s="14"/>
    </row>
    <row r="945" spans="1:11" ht="24.75" customHeight="1">
      <c r="A945" s="115" t="s">
        <v>22</v>
      </c>
      <c r="B945" s="94">
        <f>C945*1.43</f>
        <v>214.5</v>
      </c>
      <c r="C945" s="142">
        <v>150</v>
      </c>
      <c r="D945" s="16"/>
      <c r="E945" s="50"/>
      <c r="F945" s="50"/>
      <c r="G945" s="50"/>
      <c r="H945" s="42"/>
      <c r="I945" s="307"/>
      <c r="J945" s="306"/>
      <c r="K945" s="14"/>
    </row>
    <row r="946" spans="1:11" ht="24.75" customHeight="1">
      <c r="A946" s="123" t="s">
        <v>23</v>
      </c>
      <c r="B946" s="94">
        <f>C946*1.54</f>
        <v>231</v>
      </c>
      <c r="C946" s="142">
        <v>150</v>
      </c>
      <c r="D946" s="16"/>
      <c r="E946" s="50"/>
      <c r="F946" s="50"/>
      <c r="G946" s="50"/>
      <c r="H946" s="42"/>
      <c r="I946" s="307"/>
      <c r="J946" s="306"/>
      <c r="K946" s="14"/>
    </row>
    <row r="947" spans="1:24" ht="24.75" customHeight="1">
      <c r="A947" s="123" t="s">
        <v>24</v>
      </c>
      <c r="B947" s="94">
        <f>C947*1.67</f>
        <v>250.5</v>
      </c>
      <c r="C947" s="142">
        <v>150</v>
      </c>
      <c r="D947" s="16"/>
      <c r="E947" s="50"/>
      <c r="F947" s="50"/>
      <c r="G947" s="50"/>
      <c r="H947" s="42"/>
      <c r="I947" s="307"/>
      <c r="J947" s="306"/>
      <c r="K947" s="14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</row>
    <row r="948" spans="1:24" ht="24.75" customHeight="1">
      <c r="A948" s="115" t="s">
        <v>27</v>
      </c>
      <c r="B948" s="42">
        <v>5</v>
      </c>
      <c r="C948" s="42">
        <v>5</v>
      </c>
      <c r="D948" s="16"/>
      <c r="E948" s="50"/>
      <c r="F948" s="50"/>
      <c r="G948" s="50"/>
      <c r="H948" s="42"/>
      <c r="I948" s="307"/>
      <c r="J948" s="306"/>
      <c r="K948" s="14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</row>
    <row r="949" spans="1:24" ht="30" customHeight="1">
      <c r="A949" s="123" t="s">
        <v>70</v>
      </c>
      <c r="B949" s="94">
        <v>2</v>
      </c>
      <c r="C949" s="112">
        <v>1</v>
      </c>
      <c r="D949" s="16"/>
      <c r="E949" s="50"/>
      <c r="F949" s="50"/>
      <c r="G949" s="50"/>
      <c r="H949" s="42"/>
      <c r="I949" s="307"/>
      <c r="J949" s="306"/>
      <c r="K949" s="14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</row>
    <row r="950" spans="1:24" ht="33" customHeight="1">
      <c r="A950" s="487" t="s">
        <v>39</v>
      </c>
      <c r="B950" s="488"/>
      <c r="C950" s="489"/>
      <c r="D950" s="41">
        <v>200</v>
      </c>
      <c r="E950" s="145">
        <v>2.8</v>
      </c>
      <c r="F950" s="145">
        <v>2.8</v>
      </c>
      <c r="G950" s="145">
        <v>13.5</v>
      </c>
      <c r="H950" s="152">
        <f>E950*4+F950*9+G950*4</f>
        <v>90.4</v>
      </c>
      <c r="I950" s="306">
        <v>0</v>
      </c>
      <c r="J950" s="362" t="s">
        <v>392</v>
      </c>
      <c r="K950" s="10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</row>
    <row r="951" spans="1:11" ht="30.75" customHeight="1">
      <c r="A951" s="115" t="s">
        <v>16</v>
      </c>
      <c r="B951" s="16">
        <v>0.4</v>
      </c>
      <c r="C951" s="16">
        <v>0.4</v>
      </c>
      <c r="D951" s="16"/>
      <c r="E951" s="44"/>
      <c r="F951" s="44"/>
      <c r="G951" s="44"/>
      <c r="H951" s="45"/>
      <c r="I951" s="307"/>
      <c r="J951" s="306"/>
      <c r="K951" s="10"/>
    </row>
    <row r="952" spans="1:11" ht="17.25" customHeight="1">
      <c r="A952" s="139" t="s">
        <v>12</v>
      </c>
      <c r="B952" s="153">
        <v>12</v>
      </c>
      <c r="C952" s="153">
        <v>12</v>
      </c>
      <c r="D952" s="153"/>
      <c r="E952" s="161"/>
      <c r="F952" s="161"/>
      <c r="G952" s="161"/>
      <c r="H952" s="142"/>
      <c r="I952" s="306"/>
      <c r="J952" s="306"/>
      <c r="K952" s="14"/>
    </row>
    <row r="953" spans="1:11" ht="16.5" customHeight="1">
      <c r="A953" s="182" t="s">
        <v>149</v>
      </c>
      <c r="B953" s="16">
        <v>100</v>
      </c>
      <c r="C953" s="16">
        <v>100</v>
      </c>
      <c r="D953" s="16"/>
      <c r="E953" s="50"/>
      <c r="F953" s="50"/>
      <c r="G953" s="50"/>
      <c r="H953" s="42"/>
      <c r="I953" s="307"/>
      <c r="J953" s="306"/>
      <c r="K953" s="14"/>
    </row>
    <row r="954" spans="1:11" ht="29.25" customHeight="1">
      <c r="A954" s="461" t="s">
        <v>72</v>
      </c>
      <c r="B954" s="461"/>
      <c r="C954" s="461"/>
      <c r="D954" s="151">
        <v>15</v>
      </c>
      <c r="E954" s="145">
        <v>1.02</v>
      </c>
      <c r="F954" s="145">
        <v>0.18</v>
      </c>
      <c r="G954" s="145">
        <v>5.04</v>
      </c>
      <c r="H954" s="152">
        <v>25.859999999999996</v>
      </c>
      <c r="I954" s="306">
        <v>0</v>
      </c>
      <c r="J954" s="306"/>
      <c r="K954" s="131"/>
    </row>
    <row r="955" spans="1:11" ht="30.75" customHeight="1">
      <c r="A955" s="461" t="s">
        <v>258</v>
      </c>
      <c r="B955" s="461"/>
      <c r="C955" s="461"/>
      <c r="D955" s="151">
        <v>15</v>
      </c>
      <c r="E955" s="145">
        <v>1.23</v>
      </c>
      <c r="F955" s="145">
        <v>0.21000000000000002</v>
      </c>
      <c r="G955" s="145">
        <v>5.7</v>
      </c>
      <c r="H955" s="152">
        <v>29.610000000000003</v>
      </c>
      <c r="I955" s="306">
        <v>0</v>
      </c>
      <c r="J955" s="306"/>
      <c r="K955" s="10"/>
    </row>
    <row r="956" spans="1:11" ht="67.5" customHeight="1">
      <c r="A956" s="466" t="s">
        <v>232</v>
      </c>
      <c r="B956" s="466"/>
      <c r="C956" s="466"/>
      <c r="D956" s="466"/>
      <c r="E956" s="466"/>
      <c r="F956" s="466"/>
      <c r="G956" s="466"/>
      <c r="H956" s="466"/>
      <c r="I956" s="466"/>
      <c r="J956" s="466"/>
      <c r="K956" s="10"/>
    </row>
    <row r="957" spans="1:11" ht="60.75" customHeight="1">
      <c r="A957" s="274" t="s">
        <v>257</v>
      </c>
      <c r="B957" s="16">
        <v>154</v>
      </c>
      <c r="C957" s="112">
        <v>150</v>
      </c>
      <c r="D957" s="41">
        <v>150</v>
      </c>
      <c r="E957" s="44">
        <v>3.2</v>
      </c>
      <c r="F957" s="44">
        <v>3.6</v>
      </c>
      <c r="G957" s="44">
        <v>6</v>
      </c>
      <c r="H957" s="45">
        <f>E957*4+F957*9+G957*4</f>
        <v>69.2</v>
      </c>
      <c r="I957" s="307">
        <v>1.02</v>
      </c>
      <c r="J957" s="306" t="s">
        <v>372</v>
      </c>
      <c r="K957" s="10"/>
    </row>
    <row r="958" spans="1:13" ht="24.75" customHeight="1" thickBot="1">
      <c r="A958" s="478" t="s">
        <v>141</v>
      </c>
      <c r="B958" s="478"/>
      <c r="C958" s="478"/>
      <c r="D958" s="478"/>
      <c r="E958" s="217">
        <f>E956+E920+E917+E873+E855+E871</f>
        <v>55.54</v>
      </c>
      <c r="F958" s="217">
        <f>F956+F920+F917+F873+F855+F871</f>
        <v>61.38333333333333</v>
      </c>
      <c r="G958" s="217">
        <f>G956+G920+G917+G873+G855+G871</f>
        <v>299.58</v>
      </c>
      <c r="H958" s="217">
        <f>H956+H920+H917+H873+H855+H871</f>
        <v>1964.09</v>
      </c>
      <c r="I958" s="318">
        <f>I956+I920+I917+I873+I855+I871</f>
        <v>122.74266103896102</v>
      </c>
      <c r="J958" s="324"/>
      <c r="K958" s="14"/>
      <c r="L958" s="181" t="s">
        <v>54</v>
      </c>
      <c r="M958" s="102"/>
    </row>
    <row r="959" spans="1:13" ht="24.75" customHeight="1">
      <c r="A959" s="476" t="s">
        <v>0</v>
      </c>
      <c r="B959" s="476"/>
      <c r="C959" s="476"/>
      <c r="D959" s="476"/>
      <c r="E959" s="476"/>
      <c r="F959" s="476"/>
      <c r="G959" s="476"/>
      <c r="H959" s="476"/>
      <c r="I959" s="476"/>
      <c r="J959" s="476"/>
      <c r="K959" s="15"/>
      <c r="L959" s="59" t="s">
        <v>72</v>
      </c>
      <c r="M959" s="102">
        <f>D1017+D1039</f>
        <v>100</v>
      </c>
    </row>
    <row r="960" spans="1:24" s="165" customFormat="1" ht="24.75" customHeight="1">
      <c r="A960" s="476" t="s">
        <v>54</v>
      </c>
      <c r="B960" s="476"/>
      <c r="C960" s="476"/>
      <c r="D960" s="476"/>
      <c r="E960" s="476"/>
      <c r="F960" s="476"/>
      <c r="G960" s="476"/>
      <c r="H960" s="476"/>
      <c r="I960" s="476"/>
      <c r="J960" s="476"/>
      <c r="K960" s="136"/>
      <c r="L960" s="35" t="s">
        <v>82</v>
      </c>
      <c r="M960" s="102">
        <f>D1016+C971+D1019+B998+D978</f>
        <v>174</v>
      </c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</row>
    <row r="961" spans="1:24" s="165" customFormat="1" ht="24.75" customHeight="1">
      <c r="A961" s="455" t="s">
        <v>2</v>
      </c>
      <c r="B961" s="449" t="s">
        <v>3</v>
      </c>
      <c r="C961" s="449" t="s">
        <v>4</v>
      </c>
      <c r="D961" s="455" t="s">
        <v>5</v>
      </c>
      <c r="E961" s="455"/>
      <c r="F961" s="455"/>
      <c r="G961" s="455"/>
      <c r="H961" s="455"/>
      <c r="I961" s="455"/>
      <c r="J961" s="446" t="s">
        <v>311</v>
      </c>
      <c r="K961" s="166"/>
      <c r="L961" s="35" t="s">
        <v>83</v>
      </c>
      <c r="M961" s="102">
        <f>B1020</f>
        <v>0</v>
      </c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</row>
    <row r="962" spans="1:24" s="165" customFormat="1" ht="24.75" customHeight="1">
      <c r="A962" s="455"/>
      <c r="B962" s="449"/>
      <c r="C962" s="449"/>
      <c r="D962" s="449" t="s">
        <v>6</v>
      </c>
      <c r="E962" s="467" t="s">
        <v>7</v>
      </c>
      <c r="F962" s="467" t="s">
        <v>8</v>
      </c>
      <c r="G962" s="467" t="s">
        <v>9</v>
      </c>
      <c r="H962" s="453" t="s">
        <v>10</v>
      </c>
      <c r="I962" s="444" t="s">
        <v>312</v>
      </c>
      <c r="J962" s="447"/>
      <c r="K962" s="136"/>
      <c r="L962" s="36" t="s">
        <v>126</v>
      </c>
      <c r="M962" s="102">
        <f>B989</f>
        <v>19</v>
      </c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</row>
    <row r="963" spans="1:24" s="165" customFormat="1" ht="24.75" customHeight="1">
      <c r="A963" s="455"/>
      <c r="B963" s="449"/>
      <c r="C963" s="449"/>
      <c r="D963" s="449"/>
      <c r="E963" s="467"/>
      <c r="F963" s="467"/>
      <c r="G963" s="467"/>
      <c r="H963" s="453"/>
      <c r="I963" s="445"/>
      <c r="J963" s="448"/>
      <c r="K963" s="136"/>
      <c r="L963" s="39" t="s">
        <v>330</v>
      </c>
      <c r="M963" s="106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</row>
    <row r="964" spans="1:24" ht="24.75" customHeight="1">
      <c r="A964" s="466" t="s">
        <v>11</v>
      </c>
      <c r="B964" s="466"/>
      <c r="C964" s="466"/>
      <c r="D964" s="466"/>
      <c r="E964" s="128">
        <f>SUM(E965:E980)</f>
        <v>20.529999999999998</v>
      </c>
      <c r="F964" s="128">
        <f>SUM(F965:F980)</f>
        <v>22.009999999999998</v>
      </c>
      <c r="G964" s="128">
        <f>SUM(G965:G980)</f>
        <v>61.400000000000006</v>
      </c>
      <c r="H964" s="116">
        <f>SUM(H965:H980)</f>
        <v>525.8100000000001</v>
      </c>
      <c r="I964" s="128">
        <f>SUM(I965:I980)</f>
        <v>13.193</v>
      </c>
      <c r="J964" s="159"/>
      <c r="K964" s="10"/>
      <c r="L964" s="35" t="s">
        <v>138</v>
      </c>
      <c r="M964" s="102">
        <f>B1030+B990</f>
        <v>250.1423076923077</v>
      </c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</row>
    <row r="965" spans="1:13" ht="24.75" customHeight="1">
      <c r="A965" s="468" t="s">
        <v>111</v>
      </c>
      <c r="B965" s="468"/>
      <c r="C965" s="468"/>
      <c r="D965" s="41" t="s">
        <v>243</v>
      </c>
      <c r="E965" s="145">
        <v>7.4</v>
      </c>
      <c r="F965" s="145">
        <v>10.1</v>
      </c>
      <c r="G965" s="145">
        <v>1.6</v>
      </c>
      <c r="H965" s="152">
        <f>E965*4+F965*9+G965*4</f>
        <v>126.9</v>
      </c>
      <c r="I965" s="306">
        <v>0.10500000000000001</v>
      </c>
      <c r="J965" s="306" t="s">
        <v>351</v>
      </c>
      <c r="K965" s="10"/>
      <c r="L965" s="35" t="s">
        <v>84</v>
      </c>
      <c r="M965" s="102">
        <f>B1010+B1011+B1006+B984+B1023+B994+B996+B999</f>
        <v>230.83</v>
      </c>
    </row>
    <row r="966" spans="1:13" ht="24.75" customHeight="1">
      <c r="A966" s="115" t="s">
        <v>29</v>
      </c>
      <c r="B966" s="42">
        <v>53.333333333333336</v>
      </c>
      <c r="C966" s="42">
        <v>53.333333333333336</v>
      </c>
      <c r="D966" s="42"/>
      <c r="E966" s="142"/>
      <c r="F966" s="161"/>
      <c r="G966" s="161"/>
      <c r="H966" s="142"/>
      <c r="I966" s="306"/>
      <c r="J966" s="306"/>
      <c r="K966" s="10"/>
      <c r="L966" s="35" t="s">
        <v>85</v>
      </c>
      <c r="M966" s="102">
        <f>B1013+D980</f>
        <v>225.6</v>
      </c>
    </row>
    <row r="967" spans="1:13" ht="24.75" customHeight="1">
      <c r="A967" s="115" t="s">
        <v>149</v>
      </c>
      <c r="B967" s="42">
        <v>20</v>
      </c>
      <c r="C967" s="42">
        <v>20</v>
      </c>
      <c r="D967" s="42"/>
      <c r="E967" s="142"/>
      <c r="F967" s="142"/>
      <c r="G967" s="142"/>
      <c r="H967" s="142"/>
      <c r="I967" s="306"/>
      <c r="J967" s="306"/>
      <c r="K967" s="10"/>
      <c r="L967" s="35" t="s">
        <v>127</v>
      </c>
      <c r="M967" s="102">
        <f>D1021</f>
        <v>200</v>
      </c>
    </row>
    <row r="968" spans="1:13" ht="24.75" customHeight="1">
      <c r="A968" s="115" t="s">
        <v>27</v>
      </c>
      <c r="B968" s="16">
        <v>1.5</v>
      </c>
      <c r="C968" s="16">
        <v>1.5</v>
      </c>
      <c r="D968" s="42"/>
      <c r="E968" s="142"/>
      <c r="F968" s="161"/>
      <c r="G968" s="161"/>
      <c r="H968" s="142"/>
      <c r="I968" s="306"/>
      <c r="J968" s="306"/>
      <c r="K968" s="14"/>
      <c r="L968" s="35" t="s">
        <v>86</v>
      </c>
      <c r="M968" s="102"/>
    </row>
    <row r="969" spans="1:13" ht="24.75" customHeight="1">
      <c r="A969" s="115" t="s">
        <v>27</v>
      </c>
      <c r="B969" s="16">
        <v>5</v>
      </c>
      <c r="C969" s="16">
        <v>5</v>
      </c>
      <c r="D969" s="16"/>
      <c r="E969" s="161"/>
      <c r="F969" s="161"/>
      <c r="G969" s="161"/>
      <c r="H969" s="142"/>
      <c r="I969" s="306"/>
      <c r="J969" s="306"/>
      <c r="K969" s="10"/>
      <c r="L969" s="35" t="s">
        <v>87</v>
      </c>
      <c r="M969" s="102">
        <f>B976+B1015</f>
        <v>30</v>
      </c>
    </row>
    <row r="970" spans="1:13" ht="24.75" customHeight="1">
      <c r="A970" s="468" t="s">
        <v>35</v>
      </c>
      <c r="B970" s="468"/>
      <c r="C970" s="468"/>
      <c r="D970" s="80" t="s">
        <v>216</v>
      </c>
      <c r="E970" s="145">
        <v>4.4</v>
      </c>
      <c r="F970" s="145">
        <v>3.8</v>
      </c>
      <c r="G970" s="145">
        <v>7.6</v>
      </c>
      <c r="H970" s="152">
        <f>G970*4+F970*9+E970*4</f>
        <v>82.19999999999999</v>
      </c>
      <c r="I970" s="306">
        <v>0.098</v>
      </c>
      <c r="J970" s="306" t="s">
        <v>376</v>
      </c>
      <c r="K970" s="14"/>
      <c r="L970" s="240" t="s">
        <v>207</v>
      </c>
      <c r="M970" s="106">
        <f>C1038</f>
        <v>10</v>
      </c>
    </row>
    <row r="971" spans="1:13" ht="42" customHeight="1">
      <c r="A971" s="115" t="s">
        <v>356</v>
      </c>
      <c r="B971" s="16">
        <v>20</v>
      </c>
      <c r="C971" s="16">
        <v>20</v>
      </c>
      <c r="D971" s="41"/>
      <c r="E971" s="44"/>
      <c r="F971" s="44"/>
      <c r="G971" s="44"/>
      <c r="H971" s="45"/>
      <c r="I971" s="307"/>
      <c r="J971" s="306"/>
      <c r="K971" s="14"/>
      <c r="L971" s="35" t="s">
        <v>128</v>
      </c>
      <c r="M971" s="102">
        <f>B975</f>
        <v>1.4</v>
      </c>
    </row>
    <row r="972" spans="1:13" ht="24.75" customHeight="1">
      <c r="A972" s="115" t="s">
        <v>183</v>
      </c>
      <c r="B972" s="16">
        <v>16</v>
      </c>
      <c r="C972" s="16">
        <v>15</v>
      </c>
      <c r="D972" s="41"/>
      <c r="E972" s="44"/>
      <c r="F972" s="44"/>
      <c r="G972" s="44"/>
      <c r="H972" s="45"/>
      <c r="I972" s="307"/>
      <c r="J972" s="306"/>
      <c r="K972" s="14"/>
      <c r="L972" s="35" t="s">
        <v>88</v>
      </c>
      <c r="M972" s="102">
        <f>C1037</f>
        <v>0.4</v>
      </c>
    </row>
    <row r="973" spans="1:13" ht="87" customHeight="1">
      <c r="A973" s="408" t="s">
        <v>536</v>
      </c>
      <c r="B973" s="112">
        <v>100</v>
      </c>
      <c r="C973" s="112">
        <v>100</v>
      </c>
      <c r="D973" s="43">
        <v>100</v>
      </c>
      <c r="E973" s="54">
        <v>3.2</v>
      </c>
      <c r="F973" s="54">
        <v>5.4</v>
      </c>
      <c r="G973" s="54">
        <v>10.5</v>
      </c>
      <c r="H973" s="45">
        <f>E973*4+F973*9+G973*4</f>
        <v>103.4</v>
      </c>
      <c r="I973" s="307">
        <v>0.49</v>
      </c>
      <c r="J973" s="306"/>
      <c r="K973" s="14"/>
      <c r="L973" s="35" t="s">
        <v>137</v>
      </c>
      <c r="M973" s="103">
        <f>B988</f>
        <v>21.76</v>
      </c>
    </row>
    <row r="974" spans="1:35" ht="24.75" customHeight="1">
      <c r="A974" s="461" t="s">
        <v>152</v>
      </c>
      <c r="B974" s="461"/>
      <c r="C974" s="461"/>
      <c r="D974" s="151">
        <v>200</v>
      </c>
      <c r="E974" s="151">
        <v>3.9</v>
      </c>
      <c r="F974" s="151">
        <v>2.5</v>
      </c>
      <c r="G974" s="145">
        <v>18</v>
      </c>
      <c r="H974" s="152">
        <f>E974*4+F974*9+G974*4</f>
        <v>110.1</v>
      </c>
      <c r="I974" s="306">
        <v>0.5</v>
      </c>
      <c r="J974" s="306" t="s">
        <v>362</v>
      </c>
      <c r="K974" s="14"/>
      <c r="L974" s="240" t="s">
        <v>208</v>
      </c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</row>
    <row r="975" spans="1:35" ht="24.75" customHeight="1">
      <c r="A975" s="184" t="s">
        <v>181</v>
      </c>
      <c r="B975" s="183">
        <v>1.4</v>
      </c>
      <c r="C975" s="183">
        <v>1.4</v>
      </c>
      <c r="D975" s="183"/>
      <c r="E975" s="151"/>
      <c r="F975" s="151"/>
      <c r="G975" s="145"/>
      <c r="H975" s="45"/>
      <c r="I975" s="307"/>
      <c r="J975" s="306"/>
      <c r="K975" s="11"/>
      <c r="L975" s="35" t="s">
        <v>89</v>
      </c>
      <c r="M975" s="102">
        <f>B1004</f>
        <v>146.88</v>
      </c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</row>
    <row r="976" spans="1:35" ht="24.75" customHeight="1">
      <c r="A976" s="139" t="s">
        <v>12</v>
      </c>
      <c r="B976" s="153">
        <v>15</v>
      </c>
      <c r="C976" s="153">
        <v>15</v>
      </c>
      <c r="D976" s="153"/>
      <c r="E976" s="161"/>
      <c r="F976" s="161"/>
      <c r="G976" s="161"/>
      <c r="H976" s="142"/>
      <c r="I976" s="306"/>
      <c r="J976" s="306"/>
      <c r="K976" s="1"/>
      <c r="L976" s="35" t="s">
        <v>130</v>
      </c>
      <c r="M976" s="102">
        <f>B1027</f>
        <v>87</v>
      </c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</row>
    <row r="977" spans="1:35" ht="37.5" customHeight="1">
      <c r="A977" s="184" t="s">
        <v>149</v>
      </c>
      <c r="B977" s="183">
        <v>100</v>
      </c>
      <c r="C977" s="183">
        <v>100</v>
      </c>
      <c r="D977" s="183"/>
      <c r="E977" s="183"/>
      <c r="F977" s="183"/>
      <c r="G977" s="183"/>
      <c r="H977" s="187"/>
      <c r="I977" s="317"/>
      <c r="J977" s="317"/>
      <c r="K977" s="1"/>
      <c r="L977" s="36" t="s">
        <v>131</v>
      </c>
      <c r="M977" s="102">
        <f>B967+B977+B1034</f>
        <v>144</v>
      </c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</row>
    <row r="978" spans="1:13" ht="38.25" customHeight="1">
      <c r="A978" s="461" t="s">
        <v>258</v>
      </c>
      <c r="B978" s="461"/>
      <c r="C978" s="461"/>
      <c r="D978" s="151">
        <v>15</v>
      </c>
      <c r="E978" s="145">
        <v>1.23</v>
      </c>
      <c r="F978" s="145">
        <v>0.21000000000000002</v>
      </c>
      <c r="G978" s="145">
        <v>5.7</v>
      </c>
      <c r="H978" s="152">
        <v>29.610000000000003</v>
      </c>
      <c r="I978" s="306">
        <v>0</v>
      </c>
      <c r="J978" s="306"/>
      <c r="K978" s="1"/>
      <c r="L978" s="39" t="s">
        <v>331</v>
      </c>
      <c r="M978" s="106">
        <f>B1041</f>
        <v>154</v>
      </c>
    </row>
    <row r="979" spans="1:13" ht="33.75" customHeight="1">
      <c r="A979" s="477" t="s">
        <v>151</v>
      </c>
      <c r="B979" s="477"/>
      <c r="C979" s="477"/>
      <c r="D979" s="477"/>
      <c r="E979" s="477"/>
      <c r="F979" s="477"/>
      <c r="G979" s="477"/>
      <c r="H979" s="477"/>
      <c r="I979" s="477"/>
      <c r="J979" s="477"/>
      <c r="K979" s="1"/>
      <c r="L979" s="35" t="s">
        <v>90</v>
      </c>
      <c r="M979" s="102">
        <f>D973</f>
        <v>100</v>
      </c>
    </row>
    <row r="980" spans="1:13" ht="47.25" customHeight="1">
      <c r="A980" s="472" t="s">
        <v>345</v>
      </c>
      <c r="B980" s="472"/>
      <c r="C980" s="472"/>
      <c r="D980" s="143">
        <v>180</v>
      </c>
      <c r="E980" s="145">
        <v>0.4</v>
      </c>
      <c r="F980" s="144">
        <v>0</v>
      </c>
      <c r="G980" s="145">
        <v>18</v>
      </c>
      <c r="H980" s="152">
        <f>E980*4+F980*9+G980*4</f>
        <v>73.6</v>
      </c>
      <c r="I980" s="306">
        <v>12</v>
      </c>
      <c r="J980" s="306"/>
      <c r="K980" s="1"/>
      <c r="L980" s="35" t="s">
        <v>91</v>
      </c>
      <c r="M980" s="103"/>
    </row>
    <row r="981" spans="1:13" ht="24.75" customHeight="1">
      <c r="A981" s="466" t="s">
        <v>18</v>
      </c>
      <c r="B981" s="466"/>
      <c r="C981" s="466"/>
      <c r="D981" s="466"/>
      <c r="E981" s="128">
        <f>SUM(E982:E1017)</f>
        <v>23.96</v>
      </c>
      <c r="F981" s="128">
        <f>SUM(F982:F1017)</f>
        <v>20.12</v>
      </c>
      <c r="G981" s="128">
        <f>SUM(G982:G1017)</f>
        <v>116.10000000000001</v>
      </c>
      <c r="H981" s="116">
        <f>SUM(H982:H1017)</f>
        <v>741.32</v>
      </c>
      <c r="I981" s="128">
        <f>SUM(I982:I1017)</f>
        <v>25.7</v>
      </c>
      <c r="J981" s="159"/>
      <c r="K981" s="1"/>
      <c r="L981" s="35" t="s">
        <v>134</v>
      </c>
      <c r="M981" s="103">
        <f>B972</f>
        <v>16</v>
      </c>
    </row>
    <row r="982" spans="1:13" ht="24.75" customHeight="1">
      <c r="A982" s="487" t="s">
        <v>547</v>
      </c>
      <c r="B982" s="488"/>
      <c r="C982" s="489"/>
      <c r="D982" s="51">
        <v>70</v>
      </c>
      <c r="E982" s="220">
        <v>0.8</v>
      </c>
      <c r="F982" s="220">
        <v>4.1</v>
      </c>
      <c r="G982" s="145">
        <v>4.6</v>
      </c>
      <c r="H982" s="152">
        <f>E982*4+F982*9+G982*4</f>
        <v>58.5</v>
      </c>
      <c r="I982" s="145">
        <v>17.2</v>
      </c>
      <c r="J982" s="306" t="s">
        <v>411</v>
      </c>
      <c r="K982" s="10"/>
      <c r="L982" s="35" t="s">
        <v>92</v>
      </c>
      <c r="M982" s="103">
        <f>B1035+B1028+B968+B969+B997</f>
        <v>21.5</v>
      </c>
    </row>
    <row r="983" spans="1:13" ht="24.75" customHeight="1">
      <c r="A983" s="115" t="s">
        <v>289</v>
      </c>
      <c r="B983" s="42">
        <f>C983*1.18</f>
        <v>79.06</v>
      </c>
      <c r="C983" s="16">
        <v>67</v>
      </c>
      <c r="D983" s="375"/>
      <c r="E983" s="376"/>
      <c r="F983" s="376"/>
      <c r="G983" s="376"/>
      <c r="H983" s="403"/>
      <c r="I983" s="128"/>
      <c r="J983" s="159"/>
      <c r="K983" s="14"/>
      <c r="L983" s="35" t="s">
        <v>65</v>
      </c>
      <c r="M983" s="103">
        <f>+B985</f>
        <v>4</v>
      </c>
    </row>
    <row r="984" spans="1:13" ht="24.75" customHeight="1" thickBot="1">
      <c r="A984" s="115" t="s">
        <v>222</v>
      </c>
      <c r="B984" s="42">
        <f>C984*1.02</f>
        <v>68.34</v>
      </c>
      <c r="C984" s="16">
        <v>67</v>
      </c>
      <c r="D984" s="375"/>
      <c r="E984" s="376"/>
      <c r="F984" s="377"/>
      <c r="G984" s="377"/>
      <c r="H984" s="378"/>
      <c r="I984" s="128"/>
      <c r="J984" s="159"/>
      <c r="K984" s="14"/>
      <c r="L984" s="37" t="s">
        <v>93</v>
      </c>
      <c r="M984" s="103">
        <f>B966</f>
        <v>53.333333333333336</v>
      </c>
    </row>
    <row r="985" spans="1:12" ht="24.75" customHeight="1">
      <c r="A985" s="115" t="s">
        <v>20</v>
      </c>
      <c r="B985" s="16">
        <v>4</v>
      </c>
      <c r="C985" s="16">
        <v>4</v>
      </c>
      <c r="D985" s="375"/>
      <c r="E985" s="376"/>
      <c r="F985" s="377"/>
      <c r="G985" s="377"/>
      <c r="H985" s="378"/>
      <c r="I985" s="128"/>
      <c r="J985" s="159"/>
      <c r="K985" s="14"/>
      <c r="L985" s="241" t="s">
        <v>209</v>
      </c>
    </row>
    <row r="986" spans="1:13" ht="24.75" customHeight="1">
      <c r="A986" s="479" t="s">
        <v>493</v>
      </c>
      <c r="B986" s="479"/>
      <c r="C986" s="479"/>
      <c r="D986" s="41" t="s">
        <v>494</v>
      </c>
      <c r="E986" s="145">
        <v>6.1</v>
      </c>
      <c r="F986" s="145">
        <v>5.9</v>
      </c>
      <c r="G986" s="145">
        <v>35</v>
      </c>
      <c r="H986" s="152">
        <f>E986*4+F986*9+G986*4</f>
        <v>217.5</v>
      </c>
      <c r="I986" s="306">
        <v>5.5</v>
      </c>
      <c r="J986" s="306" t="s">
        <v>464</v>
      </c>
      <c r="K986" s="14"/>
      <c r="L986" s="39" t="s">
        <v>219</v>
      </c>
      <c r="M986" s="244"/>
    </row>
    <row r="987" spans="1:11" ht="24.75" customHeight="1">
      <c r="A987" s="117" t="s">
        <v>69</v>
      </c>
      <c r="B987" s="219">
        <f>C987*1.18</f>
        <v>18.88</v>
      </c>
      <c r="C987" s="162">
        <v>16</v>
      </c>
      <c r="D987" s="191"/>
      <c r="E987" s="140"/>
      <c r="F987" s="192"/>
      <c r="G987" s="192"/>
      <c r="H987" s="193"/>
      <c r="I987" s="321"/>
      <c r="J987" s="319"/>
      <c r="K987" s="14"/>
    </row>
    <row r="988" spans="1:11" ht="24.75" customHeight="1">
      <c r="A988" s="195" t="s">
        <v>73</v>
      </c>
      <c r="B988" s="31">
        <f>C988*1.36</f>
        <v>21.76</v>
      </c>
      <c r="C988" s="162">
        <v>16</v>
      </c>
      <c r="D988" s="191"/>
      <c r="E988" s="140"/>
      <c r="F988" s="140"/>
      <c r="G988" s="140"/>
      <c r="H988" s="140"/>
      <c r="I988" s="140"/>
      <c r="J988" s="140"/>
      <c r="K988" s="14"/>
    </row>
    <row r="989" spans="1:11" ht="24.75" customHeight="1">
      <c r="A989" s="115" t="s">
        <v>147</v>
      </c>
      <c r="B989" s="16">
        <v>19</v>
      </c>
      <c r="C989" s="16">
        <v>19</v>
      </c>
      <c r="D989" s="41"/>
      <c r="E989" s="44"/>
      <c r="F989" s="44"/>
      <c r="G989" s="44"/>
      <c r="H989" s="45"/>
      <c r="I989" s="307"/>
      <c r="J989" s="306"/>
      <c r="K989" s="14"/>
    </row>
    <row r="990" spans="1:11" ht="24.75" customHeight="1">
      <c r="A990" s="184" t="s">
        <v>21</v>
      </c>
      <c r="B990" s="187">
        <f>C990*1.33</f>
        <v>79.80000000000001</v>
      </c>
      <c r="C990" s="183">
        <v>60</v>
      </c>
      <c r="D990" s="151"/>
      <c r="E990" s="145"/>
      <c r="F990" s="145"/>
      <c r="G990" s="145"/>
      <c r="H990" s="187"/>
      <c r="I990" s="317"/>
      <c r="J990" s="317"/>
      <c r="K990" s="14"/>
    </row>
    <row r="991" spans="1:11" ht="24.75" customHeight="1">
      <c r="A991" s="123" t="s">
        <v>22</v>
      </c>
      <c r="B991" s="94">
        <f>C991*1.43</f>
        <v>85.8</v>
      </c>
      <c r="C991" s="183">
        <v>60</v>
      </c>
      <c r="D991" s="41"/>
      <c r="E991" s="44"/>
      <c r="F991" s="44"/>
      <c r="G991" s="44"/>
      <c r="H991" s="45"/>
      <c r="I991" s="307"/>
      <c r="J991" s="306"/>
      <c r="K991" s="14"/>
    </row>
    <row r="992" spans="1:11" ht="24.75" customHeight="1">
      <c r="A992" s="123" t="s">
        <v>23</v>
      </c>
      <c r="B992" s="94">
        <f>C992*1.54</f>
        <v>92.4</v>
      </c>
      <c r="C992" s="183">
        <v>60</v>
      </c>
      <c r="D992" s="41"/>
      <c r="E992" s="44"/>
      <c r="F992" s="140"/>
      <c r="G992" s="140"/>
      <c r="H992" s="94"/>
      <c r="I992" s="316"/>
      <c r="J992" s="317"/>
      <c r="K992" s="14"/>
    </row>
    <row r="993" spans="1:11" ht="24.75" customHeight="1">
      <c r="A993" s="123" t="s">
        <v>24</v>
      </c>
      <c r="B993" s="94">
        <f>C993*1.67</f>
        <v>100.19999999999999</v>
      </c>
      <c r="C993" s="183">
        <v>60</v>
      </c>
      <c r="D993" s="41"/>
      <c r="E993" s="44"/>
      <c r="F993" s="140"/>
      <c r="G993" s="140"/>
      <c r="H993" s="94"/>
      <c r="I993" s="316"/>
      <c r="J993" s="317"/>
      <c r="K993" s="67"/>
    </row>
    <row r="994" spans="1:11" ht="24.75" customHeight="1">
      <c r="A994" s="123" t="s">
        <v>25</v>
      </c>
      <c r="B994" s="140">
        <f>C994*1.25</f>
        <v>12.5</v>
      </c>
      <c r="C994" s="112">
        <v>10</v>
      </c>
      <c r="D994" s="41"/>
      <c r="E994" s="44"/>
      <c r="F994" s="140"/>
      <c r="G994" s="140"/>
      <c r="H994" s="94"/>
      <c r="I994" s="316"/>
      <c r="J994" s="317"/>
      <c r="K994" s="10"/>
    </row>
    <row r="995" spans="1:11" ht="24.75" customHeight="1">
      <c r="A995" s="123" t="s">
        <v>19</v>
      </c>
      <c r="B995" s="140">
        <f>C995*1.33</f>
        <v>13.3</v>
      </c>
      <c r="C995" s="112">
        <v>10</v>
      </c>
      <c r="D995" s="41"/>
      <c r="E995" s="44"/>
      <c r="F995" s="140"/>
      <c r="G995" s="140"/>
      <c r="H995" s="94"/>
      <c r="I995" s="316"/>
      <c r="J995" s="317"/>
      <c r="K995" s="10"/>
    </row>
    <row r="996" spans="1:11" ht="24.75" customHeight="1">
      <c r="A996" s="123" t="s">
        <v>26</v>
      </c>
      <c r="B996" s="94">
        <f>C996*1.19</f>
        <v>11.899999999999999</v>
      </c>
      <c r="C996" s="112">
        <v>10</v>
      </c>
      <c r="D996" s="41"/>
      <c r="E996" s="44"/>
      <c r="F996" s="140"/>
      <c r="G996" s="140"/>
      <c r="H996" s="94"/>
      <c r="I996" s="316"/>
      <c r="J996" s="317"/>
      <c r="K996" s="13"/>
    </row>
    <row r="997" spans="1:11" ht="24.75" customHeight="1">
      <c r="A997" s="123" t="s">
        <v>27</v>
      </c>
      <c r="B997" s="112">
        <v>6</v>
      </c>
      <c r="C997" s="112">
        <v>6</v>
      </c>
      <c r="D997" s="41"/>
      <c r="E997" s="44"/>
      <c r="F997" s="140"/>
      <c r="G997" s="140"/>
      <c r="H997" s="94"/>
      <c r="I997" s="316"/>
      <c r="J997" s="317"/>
      <c r="K997" s="83"/>
    </row>
    <row r="998" spans="1:11" ht="24.75" customHeight="1">
      <c r="A998" s="115" t="s">
        <v>148</v>
      </c>
      <c r="B998" s="16">
        <v>19</v>
      </c>
      <c r="C998" s="16">
        <v>16</v>
      </c>
      <c r="D998" s="112"/>
      <c r="E998" s="140"/>
      <c r="F998" s="140"/>
      <c r="G998" s="140"/>
      <c r="H998" s="94"/>
      <c r="I998" s="316"/>
      <c r="J998" s="317"/>
      <c r="K998" s="10"/>
    </row>
    <row r="999" spans="1:11" ht="24.75" customHeight="1">
      <c r="A999" s="123" t="s">
        <v>70</v>
      </c>
      <c r="B999" s="94">
        <v>3</v>
      </c>
      <c r="C999" s="112">
        <v>2</v>
      </c>
      <c r="D999" s="112"/>
      <c r="E999" s="140"/>
      <c r="F999" s="140"/>
      <c r="G999" s="140"/>
      <c r="H999" s="94"/>
      <c r="I999" s="316"/>
      <c r="J999" s="317"/>
      <c r="K999" s="10"/>
    </row>
    <row r="1000" spans="1:11" ht="24.75" customHeight="1">
      <c r="A1000" s="468" t="s">
        <v>454</v>
      </c>
      <c r="B1000" s="468"/>
      <c r="C1000" s="468"/>
      <c r="D1000" s="41">
        <v>110</v>
      </c>
      <c r="E1000" s="44">
        <v>9.3</v>
      </c>
      <c r="F1000" s="44">
        <v>5.4</v>
      </c>
      <c r="G1000" s="44">
        <v>0.3</v>
      </c>
      <c r="H1000" s="45">
        <f>E1000*4+F1000*9+G1000*4</f>
        <v>87.00000000000001</v>
      </c>
      <c r="I1000" s="307">
        <v>0</v>
      </c>
      <c r="J1000" s="306" t="s">
        <v>382</v>
      </c>
      <c r="K1000" s="10"/>
    </row>
    <row r="1001" spans="1:11" ht="24.75" customHeight="1">
      <c r="A1001" s="203" t="s">
        <v>187</v>
      </c>
      <c r="B1001" s="219">
        <f>C1001*1.43</f>
        <v>192.25555555555556</v>
      </c>
      <c r="C1001" s="201">
        <v>134.44444444444446</v>
      </c>
      <c r="D1001" s="199"/>
      <c r="E1001" s="199"/>
      <c r="F1001" s="200"/>
      <c r="G1001" s="200"/>
      <c r="H1001" s="201"/>
      <c r="I1001" s="309"/>
      <c r="J1001" s="317"/>
      <c r="K1001" s="10"/>
    </row>
    <row r="1002" spans="1:11" ht="24.75" customHeight="1">
      <c r="A1002" s="234" t="s">
        <v>188</v>
      </c>
      <c r="B1002" s="219">
        <f>C1002*1.72</f>
        <v>231.24444444444447</v>
      </c>
      <c r="C1002" s="201">
        <v>134.44444444444446</v>
      </c>
      <c r="D1002" s="199"/>
      <c r="E1002" s="200"/>
      <c r="F1002" s="200"/>
      <c r="G1002" s="200"/>
      <c r="H1002" s="200"/>
      <c r="I1002" s="200"/>
      <c r="J1002" s="317"/>
      <c r="K1002" s="10"/>
    </row>
    <row r="1003" spans="1:11" ht="24.75" customHeight="1">
      <c r="A1003" s="203" t="s">
        <v>117</v>
      </c>
      <c r="B1003" s="219">
        <f>C1003*1.35</f>
        <v>183.15</v>
      </c>
      <c r="C1003" s="201">
        <v>135.66666666666666</v>
      </c>
      <c r="D1003" s="199"/>
      <c r="E1003" s="200"/>
      <c r="F1003" s="200"/>
      <c r="G1003" s="200"/>
      <c r="H1003" s="201"/>
      <c r="I1003" s="309"/>
      <c r="J1003" s="317"/>
      <c r="K1003" s="10"/>
    </row>
    <row r="1004" spans="1:11" ht="24.75" customHeight="1">
      <c r="A1004" s="407" t="s">
        <v>498</v>
      </c>
      <c r="B1004" s="219">
        <f>C1004*1.08</f>
        <v>146.88</v>
      </c>
      <c r="C1004" s="201">
        <v>136</v>
      </c>
      <c r="D1004" s="199"/>
      <c r="E1004" s="200"/>
      <c r="F1004" s="200"/>
      <c r="G1004" s="200"/>
      <c r="H1004" s="201"/>
      <c r="I1004" s="309"/>
      <c r="J1004" s="317"/>
      <c r="K1004" s="10"/>
    </row>
    <row r="1005" spans="1:11" ht="24.75" customHeight="1">
      <c r="A1005" s="234" t="s">
        <v>189</v>
      </c>
      <c r="B1005" s="219">
        <f>C1005*1.72</f>
        <v>231.24444444444447</v>
      </c>
      <c r="C1005" s="201">
        <v>134.44444444444446</v>
      </c>
      <c r="D1005" s="199"/>
      <c r="E1005" s="200"/>
      <c r="F1005" s="200"/>
      <c r="G1005" s="200"/>
      <c r="H1005" s="201"/>
      <c r="I1005" s="309"/>
      <c r="J1005" s="317"/>
      <c r="K1005" s="69"/>
    </row>
    <row r="1006" spans="1:11" ht="24.75" customHeight="1">
      <c r="A1006" s="141" t="s">
        <v>26</v>
      </c>
      <c r="B1006" s="94">
        <f>C1006*1.19</f>
        <v>13.09</v>
      </c>
      <c r="C1006" s="94">
        <v>11</v>
      </c>
      <c r="D1006" s="199"/>
      <c r="E1006" s="140"/>
      <c r="F1006" s="140"/>
      <c r="G1006" s="140"/>
      <c r="H1006" s="94"/>
      <c r="I1006" s="316"/>
      <c r="J1006" s="317"/>
      <c r="K1006" s="58"/>
    </row>
    <row r="1007" spans="1:11" ht="24.75" customHeight="1">
      <c r="A1007" s="473" t="s">
        <v>590</v>
      </c>
      <c r="B1007" s="474"/>
      <c r="C1007" s="475"/>
      <c r="D1007" s="151">
        <v>150</v>
      </c>
      <c r="E1007" s="145">
        <v>1.8</v>
      </c>
      <c r="F1007" s="145">
        <v>3.5</v>
      </c>
      <c r="G1007" s="145">
        <v>27</v>
      </c>
      <c r="H1007" s="152">
        <f>E1007*4+F1007*9+G1007*4</f>
        <v>146.7</v>
      </c>
      <c r="I1007" s="317">
        <v>1.4</v>
      </c>
      <c r="J1007" s="317" t="s">
        <v>348</v>
      </c>
      <c r="K1007" s="13"/>
    </row>
    <row r="1008" spans="1:11" ht="24.75" customHeight="1">
      <c r="A1008" s="139" t="s">
        <v>31</v>
      </c>
      <c r="B1008" s="153">
        <v>42</v>
      </c>
      <c r="C1008" s="153">
        <v>42</v>
      </c>
      <c r="D1008" s="153"/>
      <c r="E1008" s="161"/>
      <c r="F1008" s="161"/>
      <c r="G1008" s="145"/>
      <c r="H1008" s="152"/>
      <c r="I1008" s="319"/>
      <c r="J1008" s="319"/>
      <c r="K1008" s="14"/>
    </row>
    <row r="1009" spans="1:11" ht="24.75" customHeight="1">
      <c r="A1009" s="139" t="s">
        <v>589</v>
      </c>
      <c r="B1009" s="153">
        <v>37</v>
      </c>
      <c r="C1009" s="153">
        <v>30</v>
      </c>
      <c r="D1009" s="153"/>
      <c r="E1009" s="161"/>
      <c r="F1009" s="161"/>
      <c r="G1009" s="145"/>
      <c r="H1009" s="152"/>
      <c r="I1009" s="319"/>
      <c r="J1009" s="319"/>
      <c r="K1009" s="14"/>
    </row>
    <row r="1010" spans="1:11" ht="24.75" customHeight="1">
      <c r="A1010" s="139" t="s">
        <v>588</v>
      </c>
      <c r="B1010" s="142">
        <v>40</v>
      </c>
      <c r="C1010" s="153">
        <v>30</v>
      </c>
      <c r="D1010" s="153"/>
      <c r="E1010" s="161"/>
      <c r="F1010" s="161"/>
      <c r="G1010" s="161"/>
      <c r="H1010" s="161"/>
      <c r="I1010" s="161"/>
      <c r="J1010" s="319"/>
      <c r="K1010" s="14"/>
    </row>
    <row r="1011" spans="1:11" ht="24.75" customHeight="1">
      <c r="A1011" s="184" t="s">
        <v>27</v>
      </c>
      <c r="B1011" s="183">
        <v>5</v>
      </c>
      <c r="C1011" s="183">
        <v>5</v>
      </c>
      <c r="D1011" s="185"/>
      <c r="E1011" s="185"/>
      <c r="F1011" s="185"/>
      <c r="G1011" s="185"/>
      <c r="H1011" s="233"/>
      <c r="I1011" s="319"/>
      <c r="J1011" s="319"/>
      <c r="K1011" s="14"/>
    </row>
    <row r="1012" spans="1:11" ht="24.75" customHeight="1">
      <c r="A1012" s="468" t="s">
        <v>47</v>
      </c>
      <c r="B1012" s="468"/>
      <c r="C1012" s="468"/>
      <c r="D1012" s="41">
        <v>200</v>
      </c>
      <c r="E1012" s="44">
        <v>0.2</v>
      </c>
      <c r="F1012" s="44">
        <v>0.2</v>
      </c>
      <c r="G1012" s="44">
        <v>21.1</v>
      </c>
      <c r="H1012" s="45">
        <f>E1012*4+F1012*9+G1012*4</f>
        <v>87</v>
      </c>
      <c r="I1012" s="307">
        <v>1.6</v>
      </c>
      <c r="J1012" s="306" t="s">
        <v>378</v>
      </c>
      <c r="K1012" s="14"/>
    </row>
    <row r="1013" spans="1:11" ht="24.75" customHeight="1">
      <c r="A1013" s="141" t="s">
        <v>347</v>
      </c>
      <c r="B1013" s="140">
        <f>C1013*1.14</f>
        <v>45.599999999999994</v>
      </c>
      <c r="C1013" s="112">
        <v>40</v>
      </c>
      <c r="D1013" s="112"/>
      <c r="E1013" s="112"/>
      <c r="F1013" s="112"/>
      <c r="G1013" s="112"/>
      <c r="H1013" s="94"/>
      <c r="I1013" s="316"/>
      <c r="J1013" s="317"/>
      <c r="K1013" s="14"/>
    </row>
    <row r="1014" spans="1:11" ht="24.75" customHeight="1">
      <c r="A1014" s="141" t="s">
        <v>346</v>
      </c>
      <c r="B1014" s="140">
        <f>C1014*1.11</f>
        <v>44.400000000000006</v>
      </c>
      <c r="C1014" s="112">
        <v>40</v>
      </c>
      <c r="D1014" s="112"/>
      <c r="E1014" s="112"/>
      <c r="F1014" s="112"/>
      <c r="G1014" s="112"/>
      <c r="H1014" s="94"/>
      <c r="I1014" s="316"/>
      <c r="J1014" s="317"/>
      <c r="K1014" s="14"/>
    </row>
    <row r="1015" spans="1:11" ht="24.75" customHeight="1">
      <c r="A1015" s="184" t="s">
        <v>12</v>
      </c>
      <c r="B1015" s="183">
        <v>15</v>
      </c>
      <c r="C1015" s="183">
        <v>15</v>
      </c>
      <c r="D1015" s="183"/>
      <c r="E1015" s="183"/>
      <c r="F1015" s="183"/>
      <c r="G1015" s="183"/>
      <c r="H1015" s="183"/>
      <c r="I1015" s="183"/>
      <c r="J1015" s="317"/>
      <c r="K1015" s="14"/>
    </row>
    <row r="1016" spans="1:11" ht="24.75" customHeight="1">
      <c r="A1016" s="461" t="s">
        <v>258</v>
      </c>
      <c r="B1016" s="461"/>
      <c r="C1016" s="461"/>
      <c r="D1016" s="151">
        <v>30</v>
      </c>
      <c r="E1016" s="145">
        <v>2.46</v>
      </c>
      <c r="F1016" s="145">
        <v>0.42000000000000004</v>
      </c>
      <c r="G1016" s="145">
        <v>11.4</v>
      </c>
      <c r="H1016" s="152">
        <v>59.220000000000006</v>
      </c>
      <c r="I1016" s="306">
        <v>0</v>
      </c>
      <c r="J1016" s="306"/>
      <c r="K1016" s="14"/>
    </row>
    <row r="1017" spans="1:11" ht="24.75" customHeight="1">
      <c r="A1017" s="461" t="s">
        <v>72</v>
      </c>
      <c r="B1017" s="461"/>
      <c r="C1017" s="461"/>
      <c r="D1017" s="151">
        <v>50</v>
      </c>
      <c r="E1017" s="145">
        <v>3.3</v>
      </c>
      <c r="F1017" s="145">
        <v>0.6</v>
      </c>
      <c r="G1017" s="145">
        <v>16.7</v>
      </c>
      <c r="H1017" s="152">
        <v>85.39999999999999</v>
      </c>
      <c r="I1017" s="306">
        <v>0</v>
      </c>
      <c r="J1017" s="306"/>
      <c r="K1017" s="14"/>
    </row>
    <row r="1018" spans="1:11" ht="24.75" customHeight="1">
      <c r="A1018" s="466" t="s">
        <v>61</v>
      </c>
      <c r="B1018" s="466"/>
      <c r="C1018" s="466"/>
      <c r="D1018" s="466"/>
      <c r="E1018" s="128">
        <f>SUM(E1019:E1021)</f>
        <v>1.6</v>
      </c>
      <c r="F1018" s="128">
        <f>SUM(F1019:F1021)</f>
        <v>1.6</v>
      </c>
      <c r="G1018" s="128">
        <f>SUM(G1019:G1021)</f>
        <v>68.6</v>
      </c>
      <c r="H1018" s="116">
        <f>SUM(H1019:H1021)</f>
        <v>295.20000000000005</v>
      </c>
      <c r="I1018" s="128">
        <f>SUM(I1019:I1021)</f>
        <v>19</v>
      </c>
      <c r="J1018" s="159"/>
      <c r="K1018" s="14"/>
    </row>
    <row r="1019" spans="1:11" ht="42.75" customHeight="1">
      <c r="A1019" s="462" t="s">
        <v>559</v>
      </c>
      <c r="B1019" s="462"/>
      <c r="C1019" s="462"/>
      <c r="D1019" s="143">
        <v>90</v>
      </c>
      <c r="E1019" s="144">
        <v>1.5</v>
      </c>
      <c r="F1019" s="144">
        <v>1.6</v>
      </c>
      <c r="G1019" s="144">
        <v>46.6</v>
      </c>
      <c r="H1019" s="152">
        <f>E1019*4+F1019*9+G1019*4</f>
        <v>206.8</v>
      </c>
      <c r="I1019" s="306">
        <v>0</v>
      </c>
      <c r="J1019" s="306"/>
      <c r="K1019" s="14"/>
    </row>
    <row r="1020" spans="1:11" ht="50.25" customHeight="1">
      <c r="A1020" s="463" t="s">
        <v>399</v>
      </c>
      <c r="B1020" s="464"/>
      <c r="C1020" s="465"/>
      <c r="D1020" s="143"/>
      <c r="E1020" s="54"/>
      <c r="F1020" s="54"/>
      <c r="G1020" s="54"/>
      <c r="H1020" s="45"/>
      <c r="I1020" s="307"/>
      <c r="J1020" s="306"/>
      <c r="K1020" s="14"/>
    </row>
    <row r="1021" spans="1:11" ht="89.25" customHeight="1">
      <c r="A1021" s="482" t="s">
        <v>504</v>
      </c>
      <c r="B1021" s="482"/>
      <c r="C1021" s="482"/>
      <c r="D1021" s="143">
        <v>200</v>
      </c>
      <c r="E1021" s="143">
        <v>0.1</v>
      </c>
      <c r="F1021" s="144">
        <v>0</v>
      </c>
      <c r="G1021" s="144">
        <v>22</v>
      </c>
      <c r="H1021" s="152">
        <f>E1021*4+F1021*9+G1021*4</f>
        <v>88.4</v>
      </c>
      <c r="I1021" s="317">
        <v>19</v>
      </c>
      <c r="J1021" s="317" t="s">
        <v>503</v>
      </c>
      <c r="K1021" s="14"/>
    </row>
    <row r="1022" spans="1:11" ht="24.75" customHeight="1">
      <c r="A1022" s="466" t="s">
        <v>30</v>
      </c>
      <c r="B1022" s="466"/>
      <c r="C1022" s="466"/>
      <c r="D1022" s="466"/>
      <c r="E1022" s="128">
        <f>SUM(E1023:E1041)</f>
        <v>15.8</v>
      </c>
      <c r="F1022" s="128">
        <f>SUM(F1023:F1041)</f>
        <v>23.800000000000004</v>
      </c>
      <c r="G1022" s="128">
        <f>SUM(G1023:G1041)</f>
        <v>61.88333333333333</v>
      </c>
      <c r="H1022" s="116">
        <f>SUM(H1023:H1041)</f>
        <v>524.9333333333333</v>
      </c>
      <c r="I1022" s="128">
        <f>SUM(I1023:I1041)</f>
        <v>33.28</v>
      </c>
      <c r="J1022" s="159"/>
      <c r="K1022" s="14"/>
    </row>
    <row r="1023" spans="1:11" ht="24.75" customHeight="1">
      <c r="A1023" s="49" t="s">
        <v>278</v>
      </c>
      <c r="B1023" s="16">
        <f>C1023*1.1</f>
        <v>77</v>
      </c>
      <c r="C1023" s="16">
        <v>70</v>
      </c>
      <c r="D1023" s="41">
        <v>70</v>
      </c>
      <c r="E1023" s="44">
        <v>0.4</v>
      </c>
      <c r="F1023" s="44">
        <v>0</v>
      </c>
      <c r="G1023" s="44">
        <v>1.2833333333333334</v>
      </c>
      <c r="H1023" s="45">
        <f>E1023*4+F1023*9+G1023*4</f>
        <v>6.733333333333334</v>
      </c>
      <c r="I1023" s="307">
        <v>6.859999999999999</v>
      </c>
      <c r="J1023" s="306"/>
      <c r="K1023" s="14"/>
    </row>
    <row r="1024" spans="1:11" ht="24.75" customHeight="1">
      <c r="A1024" s="369" t="s">
        <v>226</v>
      </c>
      <c r="B1024" s="187">
        <f>C1024*1.05</f>
        <v>73.5</v>
      </c>
      <c r="C1024" s="163">
        <v>70</v>
      </c>
      <c r="D1024" s="151"/>
      <c r="E1024" s="145"/>
      <c r="F1024" s="145"/>
      <c r="G1024" s="145"/>
      <c r="H1024" s="152"/>
      <c r="I1024" s="306"/>
      <c r="J1024" s="306"/>
      <c r="K1024" s="14"/>
    </row>
    <row r="1025" spans="1:11" ht="24.75" customHeight="1">
      <c r="A1025" s="374" t="s">
        <v>224</v>
      </c>
      <c r="B1025" s="187">
        <f>C1025*1.02</f>
        <v>71.4</v>
      </c>
      <c r="C1025" s="163">
        <v>70</v>
      </c>
      <c r="D1025" s="151"/>
      <c r="E1025" s="145"/>
      <c r="F1025" s="145"/>
      <c r="G1025" s="145"/>
      <c r="H1025" s="152"/>
      <c r="I1025" s="306"/>
      <c r="J1025" s="306"/>
      <c r="K1025" s="14"/>
    </row>
    <row r="1026" spans="1:11" ht="24.75" customHeight="1">
      <c r="A1026" s="502" t="s">
        <v>551</v>
      </c>
      <c r="B1026" s="503"/>
      <c r="C1026" s="504"/>
      <c r="D1026" s="108">
        <v>90</v>
      </c>
      <c r="E1026" s="111">
        <v>5.5</v>
      </c>
      <c r="F1026" s="111">
        <v>15.4</v>
      </c>
      <c r="G1026" s="111">
        <v>0.8</v>
      </c>
      <c r="H1026" s="109">
        <f>E1026*4+F1026*9+G1026*4</f>
        <v>163.79999999999998</v>
      </c>
      <c r="I1026" s="310">
        <v>0</v>
      </c>
      <c r="J1026" s="350" t="s">
        <v>363</v>
      </c>
      <c r="K1026" s="14"/>
    </row>
    <row r="1027" spans="1:11" ht="46.5" customHeight="1">
      <c r="A1027" s="434" t="s">
        <v>552</v>
      </c>
      <c r="B1027" s="112">
        <v>87</v>
      </c>
      <c r="C1027" s="199">
        <v>85</v>
      </c>
      <c r="D1027" s="199"/>
      <c r="E1027" s="200"/>
      <c r="F1027" s="200"/>
      <c r="G1027" s="200"/>
      <c r="H1027" s="201"/>
      <c r="I1027" s="309"/>
      <c r="J1027" s="317"/>
      <c r="K1027" s="14"/>
    </row>
    <row r="1028" spans="1:11" ht="24.75" customHeight="1">
      <c r="A1028" s="123" t="s">
        <v>27</v>
      </c>
      <c r="B1028" s="199">
        <v>5</v>
      </c>
      <c r="C1028" s="199">
        <v>5</v>
      </c>
      <c r="D1028" s="199"/>
      <c r="E1028" s="200"/>
      <c r="F1028" s="200"/>
      <c r="G1028" s="200"/>
      <c r="H1028" s="201"/>
      <c r="I1028" s="309"/>
      <c r="J1028" s="317"/>
      <c r="K1028" s="10"/>
    </row>
    <row r="1029" spans="1:11" ht="24.75" customHeight="1">
      <c r="A1029" s="468" t="s">
        <v>49</v>
      </c>
      <c r="B1029" s="468"/>
      <c r="C1029" s="468"/>
      <c r="D1029" s="41">
        <v>150</v>
      </c>
      <c r="E1029" s="145">
        <v>3.2</v>
      </c>
      <c r="F1029" s="145">
        <v>4.2</v>
      </c>
      <c r="G1029" s="145">
        <v>21.6</v>
      </c>
      <c r="H1029" s="152">
        <f>E1029*4+F1029*9+G1029*4</f>
        <v>137</v>
      </c>
      <c r="I1029" s="306">
        <v>25.4</v>
      </c>
      <c r="J1029" s="306" t="s">
        <v>364</v>
      </c>
      <c r="K1029" s="10"/>
    </row>
    <row r="1030" spans="1:11" ht="24.75" customHeight="1">
      <c r="A1030" s="139" t="s">
        <v>21</v>
      </c>
      <c r="B1030" s="187">
        <f>C1030*1.33</f>
        <v>170.34230769230768</v>
      </c>
      <c r="C1030" s="142">
        <v>128.07692307692307</v>
      </c>
      <c r="D1030" s="142"/>
      <c r="E1030" s="161"/>
      <c r="F1030" s="161"/>
      <c r="G1030" s="161"/>
      <c r="H1030" s="142"/>
      <c r="I1030" s="306"/>
      <c r="J1030" s="306"/>
      <c r="K1030" s="10"/>
    </row>
    <row r="1031" spans="1:10" ht="24.75" customHeight="1">
      <c r="A1031" s="115" t="s">
        <v>22</v>
      </c>
      <c r="B1031" s="94">
        <f>C1031*1.43</f>
        <v>183.14999999999998</v>
      </c>
      <c r="C1031" s="42">
        <v>128.07692307692307</v>
      </c>
      <c r="D1031" s="42"/>
      <c r="E1031" s="50"/>
      <c r="F1031" s="50"/>
      <c r="G1031" s="50"/>
      <c r="H1031" s="42"/>
      <c r="I1031" s="307"/>
      <c r="J1031" s="306"/>
    </row>
    <row r="1032" spans="1:10" ht="24.75" customHeight="1">
      <c r="A1032" s="123" t="s">
        <v>23</v>
      </c>
      <c r="B1032" s="94">
        <f>C1032*1.54</f>
        <v>197.23846153846154</v>
      </c>
      <c r="C1032" s="42">
        <v>128.07692307692307</v>
      </c>
      <c r="D1032" s="42"/>
      <c r="E1032" s="50"/>
      <c r="F1032" s="50"/>
      <c r="G1032" s="50"/>
      <c r="H1032" s="42"/>
      <c r="I1032" s="307"/>
      <c r="J1032" s="306"/>
    </row>
    <row r="1033" spans="1:10" ht="24.75" customHeight="1">
      <c r="A1033" s="123" t="s">
        <v>24</v>
      </c>
      <c r="B1033" s="94">
        <f>C1033*1.67</f>
        <v>213.8884615384615</v>
      </c>
      <c r="C1033" s="42">
        <v>128.07692307692307</v>
      </c>
      <c r="D1033" s="42"/>
      <c r="E1033" s="50"/>
      <c r="F1033" s="50"/>
      <c r="G1033" s="50"/>
      <c r="H1033" s="42"/>
      <c r="I1033" s="307"/>
      <c r="J1033" s="306"/>
    </row>
    <row r="1034" spans="1:11" ht="33" customHeight="1">
      <c r="A1034" s="182" t="s">
        <v>149</v>
      </c>
      <c r="B1034" s="42">
        <v>24</v>
      </c>
      <c r="C1034" s="42">
        <v>24</v>
      </c>
      <c r="D1034" s="42"/>
      <c r="E1034" s="50"/>
      <c r="F1034" s="50"/>
      <c r="G1034" s="50"/>
      <c r="H1034" s="42"/>
      <c r="I1034" s="307"/>
      <c r="J1034" s="306"/>
      <c r="K1034" s="10"/>
    </row>
    <row r="1035" spans="1:11" ht="33.75" customHeight="1">
      <c r="A1035" s="115" t="s">
        <v>27</v>
      </c>
      <c r="B1035" s="42">
        <v>4</v>
      </c>
      <c r="C1035" s="42">
        <v>4</v>
      </c>
      <c r="D1035" s="42"/>
      <c r="E1035" s="50"/>
      <c r="F1035" s="50"/>
      <c r="G1035" s="50"/>
      <c r="H1035" s="42"/>
      <c r="I1035" s="307"/>
      <c r="J1035" s="306"/>
      <c r="K1035" s="14"/>
    </row>
    <row r="1036" spans="1:11" ht="33" customHeight="1">
      <c r="A1036" s="468" t="s">
        <v>193</v>
      </c>
      <c r="B1036" s="468"/>
      <c r="C1036" s="468"/>
      <c r="D1036" s="151" t="s">
        <v>409</v>
      </c>
      <c r="E1036" s="145">
        <v>0.2</v>
      </c>
      <c r="F1036" s="145">
        <v>0</v>
      </c>
      <c r="G1036" s="145">
        <v>8</v>
      </c>
      <c r="H1036" s="152">
        <f>E1036*4+F1036*9+G1036*4</f>
        <v>32.8</v>
      </c>
      <c r="I1036" s="306">
        <v>0</v>
      </c>
      <c r="J1036" s="306" t="s">
        <v>353</v>
      </c>
      <c r="K1036" s="14"/>
    </row>
    <row r="1037" spans="1:11" ht="15" customHeight="1">
      <c r="A1037" s="115" t="s">
        <v>16</v>
      </c>
      <c r="B1037" s="16">
        <v>0.4</v>
      </c>
      <c r="C1037" s="16">
        <v>0.4</v>
      </c>
      <c r="D1037" s="16"/>
      <c r="E1037" s="50"/>
      <c r="F1037" s="50"/>
      <c r="G1037" s="50"/>
      <c r="H1037" s="42"/>
      <c r="I1037" s="307"/>
      <c r="J1037" s="306"/>
      <c r="K1037" s="14"/>
    </row>
    <row r="1038" spans="1:11" ht="20.25" customHeight="1">
      <c r="A1038" s="115" t="s">
        <v>410</v>
      </c>
      <c r="B1038" s="16">
        <v>10</v>
      </c>
      <c r="C1038" s="16">
        <v>10</v>
      </c>
      <c r="D1038" s="16"/>
      <c r="E1038" s="50"/>
      <c r="F1038" s="50"/>
      <c r="G1038" s="50"/>
      <c r="H1038" s="42"/>
      <c r="I1038" s="50"/>
      <c r="J1038" s="306"/>
      <c r="K1038" s="64"/>
    </row>
    <row r="1039" spans="1:11" ht="30.75" customHeight="1">
      <c r="A1039" s="461" t="s">
        <v>72</v>
      </c>
      <c r="B1039" s="461"/>
      <c r="C1039" s="461"/>
      <c r="D1039" s="151">
        <v>50</v>
      </c>
      <c r="E1039" s="145">
        <v>3.3</v>
      </c>
      <c r="F1039" s="145">
        <v>0.6</v>
      </c>
      <c r="G1039" s="145">
        <v>16.7</v>
      </c>
      <c r="H1039" s="152">
        <v>85.39999999999999</v>
      </c>
      <c r="I1039" s="306">
        <v>0</v>
      </c>
      <c r="J1039" s="306"/>
      <c r="K1039" s="13"/>
    </row>
    <row r="1040" spans="1:11" ht="18.75" customHeight="1">
      <c r="A1040" s="466" t="s">
        <v>232</v>
      </c>
      <c r="B1040" s="466"/>
      <c r="C1040" s="466"/>
      <c r="D1040" s="466"/>
      <c r="E1040" s="466"/>
      <c r="F1040" s="466"/>
      <c r="G1040" s="466"/>
      <c r="H1040" s="466"/>
      <c r="I1040" s="466"/>
      <c r="J1040" s="466"/>
      <c r="K1040" s="14"/>
    </row>
    <row r="1041" spans="1:24" ht="24.75" customHeight="1">
      <c r="A1041" s="274" t="s">
        <v>553</v>
      </c>
      <c r="B1041" s="16">
        <v>154</v>
      </c>
      <c r="C1041" s="112">
        <v>150</v>
      </c>
      <c r="D1041" s="41">
        <v>150</v>
      </c>
      <c r="E1041" s="44">
        <v>3.2</v>
      </c>
      <c r="F1041" s="44">
        <v>3.6</v>
      </c>
      <c r="G1041" s="44">
        <v>13.5</v>
      </c>
      <c r="H1041" s="45">
        <f>E1041*4+F1041*9+G1041*4</f>
        <v>99.2</v>
      </c>
      <c r="I1041" s="307">
        <v>1.02</v>
      </c>
      <c r="J1041" s="306" t="s">
        <v>372</v>
      </c>
      <c r="K1041" s="14"/>
      <c r="N1041" s="204"/>
      <c r="O1041" s="204"/>
      <c r="P1041" s="204"/>
      <c r="Q1041" s="204"/>
      <c r="R1041" s="204"/>
      <c r="S1041" s="204"/>
      <c r="T1041" s="204"/>
      <c r="U1041" s="204"/>
      <c r="V1041" s="204"/>
      <c r="W1041" s="204"/>
      <c r="X1041" s="204"/>
    </row>
    <row r="1042" spans="1:24" ht="24.75" customHeight="1">
      <c r="A1042" s="478" t="s">
        <v>141</v>
      </c>
      <c r="B1042" s="478"/>
      <c r="C1042" s="478"/>
      <c r="D1042" s="478"/>
      <c r="E1042" s="216">
        <f>E1040+E1022+E1018+E981+E979+E964</f>
        <v>61.89</v>
      </c>
      <c r="F1042" s="216">
        <f>F1040+F1022+F1018+F981+F979+F964</f>
        <v>67.53</v>
      </c>
      <c r="G1042" s="216">
        <f>G1040+G1022+G1018+G981+G979+G964</f>
        <v>307.98333333333335</v>
      </c>
      <c r="H1042" s="216">
        <f>H1040+H1022+H1018+H981+H979+H964</f>
        <v>2087.2633333333333</v>
      </c>
      <c r="I1042" s="324">
        <f>I1040+I1022+I1018+I981+I979+I964</f>
        <v>91.173</v>
      </c>
      <c r="J1042" s="324"/>
      <c r="K1042" s="14"/>
      <c r="N1042" s="204"/>
      <c r="O1042" s="204"/>
      <c r="P1042" s="204"/>
      <c r="Q1042" s="204"/>
      <c r="R1042" s="204"/>
      <c r="S1042" s="204"/>
      <c r="T1042" s="204"/>
      <c r="U1042" s="204"/>
      <c r="V1042" s="204"/>
      <c r="W1042" s="204"/>
      <c r="X1042" s="204"/>
    </row>
    <row r="1043" spans="1:24" ht="24.75" customHeight="1" thickBot="1">
      <c r="A1043" s="491" t="s">
        <v>0</v>
      </c>
      <c r="B1043" s="491"/>
      <c r="C1043" s="491"/>
      <c r="D1043" s="491"/>
      <c r="E1043" s="491"/>
      <c r="F1043" s="491"/>
      <c r="G1043" s="491"/>
      <c r="H1043" s="491"/>
      <c r="I1043" s="491"/>
      <c r="J1043" s="491"/>
      <c r="K1043" s="14"/>
      <c r="L1043" s="181" t="s">
        <v>68</v>
      </c>
      <c r="M1043" s="102"/>
      <c r="N1043" s="204"/>
      <c r="O1043" s="204"/>
      <c r="P1043" s="204"/>
      <c r="Q1043" s="204"/>
      <c r="R1043" s="204"/>
      <c r="S1043" s="204"/>
      <c r="T1043" s="204"/>
      <c r="U1043" s="204"/>
      <c r="V1043" s="204"/>
      <c r="W1043" s="204"/>
      <c r="X1043" s="204"/>
    </row>
    <row r="1044" spans="1:24" ht="24.75" customHeight="1">
      <c r="A1044" s="491" t="s">
        <v>68</v>
      </c>
      <c r="B1044" s="491"/>
      <c r="C1044" s="491"/>
      <c r="D1044" s="491"/>
      <c r="E1044" s="491"/>
      <c r="F1044" s="491"/>
      <c r="G1044" s="491"/>
      <c r="H1044" s="491"/>
      <c r="I1044" s="491"/>
      <c r="J1044" s="491"/>
      <c r="K1044" s="10"/>
      <c r="L1044" s="59" t="s">
        <v>72</v>
      </c>
      <c r="M1044" s="102">
        <f>D1107+D1132</f>
        <v>75</v>
      </c>
      <c r="N1044" s="204"/>
      <c r="O1044" s="204"/>
      <c r="P1044" s="204"/>
      <c r="Q1044" s="204"/>
      <c r="R1044" s="204"/>
      <c r="S1044" s="204"/>
      <c r="T1044" s="204"/>
      <c r="U1044" s="204"/>
      <c r="V1044" s="204"/>
      <c r="W1044" s="204"/>
      <c r="X1044" s="204"/>
    </row>
    <row r="1045" spans="1:24" ht="24.75" customHeight="1">
      <c r="A1045" s="455" t="s">
        <v>2</v>
      </c>
      <c r="B1045" s="449" t="s">
        <v>3</v>
      </c>
      <c r="C1045" s="449" t="s">
        <v>4</v>
      </c>
      <c r="D1045" s="455" t="s">
        <v>5</v>
      </c>
      <c r="E1045" s="455"/>
      <c r="F1045" s="455"/>
      <c r="G1045" s="455"/>
      <c r="H1045" s="455"/>
      <c r="I1045" s="455"/>
      <c r="J1045" s="446" t="s">
        <v>311</v>
      </c>
      <c r="K1045" s="10"/>
      <c r="L1045" s="35" t="s">
        <v>82</v>
      </c>
      <c r="M1045" s="102">
        <f>D1106+D1133+B1056+C1061+D1109</f>
        <v>168</v>
      </c>
      <c r="N1045" s="204"/>
      <c r="O1045" s="204"/>
      <c r="P1045" s="204"/>
      <c r="Q1045" s="204"/>
      <c r="R1045" s="204"/>
      <c r="S1045" s="204"/>
      <c r="T1045" s="204"/>
      <c r="U1045" s="204"/>
      <c r="V1045" s="204"/>
      <c r="W1045" s="204"/>
      <c r="X1045" s="204"/>
    </row>
    <row r="1046" spans="1:24" ht="24.75" customHeight="1">
      <c r="A1046" s="455"/>
      <c r="B1046" s="449"/>
      <c r="C1046" s="449"/>
      <c r="D1046" s="449" t="s">
        <v>6</v>
      </c>
      <c r="E1046" s="467" t="s">
        <v>7</v>
      </c>
      <c r="F1046" s="467" t="s">
        <v>8</v>
      </c>
      <c r="G1046" s="467" t="s">
        <v>9</v>
      </c>
      <c r="H1046" s="453" t="s">
        <v>10</v>
      </c>
      <c r="I1046" s="444" t="s">
        <v>312</v>
      </c>
      <c r="J1046" s="447"/>
      <c r="K1046" s="14"/>
      <c r="L1046" s="35" t="s">
        <v>83</v>
      </c>
      <c r="M1046" s="102">
        <f>B1097+B1052</f>
        <v>9</v>
      </c>
      <c r="N1046" s="204"/>
      <c r="O1046" s="204"/>
      <c r="P1046" s="204"/>
      <c r="Q1046" s="204"/>
      <c r="R1046" s="204"/>
      <c r="S1046" s="204"/>
      <c r="T1046" s="204"/>
      <c r="U1046" s="204"/>
      <c r="V1046" s="204"/>
      <c r="W1046" s="204"/>
      <c r="X1046" s="204"/>
    </row>
    <row r="1047" spans="1:24" ht="24.75" customHeight="1">
      <c r="A1047" s="455"/>
      <c r="B1047" s="449"/>
      <c r="C1047" s="449"/>
      <c r="D1047" s="449"/>
      <c r="E1047" s="467"/>
      <c r="F1047" s="467"/>
      <c r="G1047" s="467"/>
      <c r="H1047" s="453"/>
      <c r="I1047" s="445"/>
      <c r="J1047" s="448"/>
      <c r="K1047" s="65"/>
      <c r="L1047" s="36" t="s">
        <v>126</v>
      </c>
      <c r="M1047" s="103">
        <f>B1124</f>
        <v>55</v>
      </c>
      <c r="N1047" s="204"/>
      <c r="O1047" s="204"/>
      <c r="P1047" s="204"/>
      <c r="Q1047" s="204"/>
      <c r="R1047" s="204"/>
      <c r="S1047" s="204"/>
      <c r="T1047" s="204"/>
      <c r="U1047" s="204"/>
      <c r="V1047" s="204"/>
      <c r="W1047" s="204"/>
      <c r="X1047" s="204"/>
    </row>
    <row r="1048" spans="1:13" ht="24.75" customHeight="1">
      <c r="A1048" s="466" t="s">
        <v>11</v>
      </c>
      <c r="B1048" s="466"/>
      <c r="C1048" s="466"/>
      <c r="D1048" s="466"/>
      <c r="E1048" s="128">
        <f>E1049+E1060+E1063+E1068+E1059</f>
        <v>16</v>
      </c>
      <c r="F1048" s="128">
        <f>F1049+F1060+F1063+F1068+F1059</f>
        <v>24.799999999999997</v>
      </c>
      <c r="G1048" s="128">
        <f>G1049+G1060+G1063+G1068+G1059</f>
        <v>67.2</v>
      </c>
      <c r="H1048" s="116">
        <f>H1049+H1060+H1063+H1068+H1059</f>
        <v>556</v>
      </c>
      <c r="I1048" s="128">
        <f>I1049+I1060+I1063+I1068+I1059</f>
        <v>14.07875</v>
      </c>
      <c r="J1048" s="159"/>
      <c r="K1048" s="10"/>
      <c r="L1048" s="39" t="s">
        <v>330</v>
      </c>
      <c r="M1048" s="102">
        <f>B1101</f>
        <v>53</v>
      </c>
    </row>
    <row r="1049" spans="1:13" ht="24.75" customHeight="1">
      <c r="A1049" s="461" t="s">
        <v>408</v>
      </c>
      <c r="B1049" s="461"/>
      <c r="C1049" s="461"/>
      <c r="D1049" s="151" t="s">
        <v>266</v>
      </c>
      <c r="E1049" s="145">
        <v>8.5</v>
      </c>
      <c r="F1049" s="145">
        <v>11</v>
      </c>
      <c r="G1049" s="145">
        <v>18.1</v>
      </c>
      <c r="H1049" s="152">
        <f>E1049*4+F1049*9+G1049*4</f>
        <v>205.4</v>
      </c>
      <c r="I1049" s="306">
        <v>0.77875</v>
      </c>
      <c r="J1049" s="306" t="s">
        <v>522</v>
      </c>
      <c r="K1049" s="14"/>
      <c r="L1049" s="35" t="s">
        <v>138</v>
      </c>
      <c r="M1049" s="103">
        <f>B1081</f>
        <v>113.05000000000001</v>
      </c>
    </row>
    <row r="1050" spans="1:13" ht="24.75" customHeight="1">
      <c r="A1050" s="114" t="s">
        <v>403</v>
      </c>
      <c r="B1050" s="187">
        <v>64</v>
      </c>
      <c r="C1050" s="187">
        <v>63</v>
      </c>
      <c r="D1050" s="187"/>
      <c r="E1050" s="187"/>
      <c r="F1050" s="183"/>
      <c r="G1050" s="183"/>
      <c r="H1050" s="187"/>
      <c r="I1050" s="317"/>
      <c r="J1050" s="317"/>
      <c r="K1050" s="14"/>
      <c r="L1050" s="35" t="s">
        <v>84</v>
      </c>
      <c r="M1050" s="103">
        <f>B1071+B1073+B1075+B1079+B1086+B1087+B1088+B1091+B1096+B1126+B1127+B1114+B1116</f>
        <v>316.40999999999997</v>
      </c>
    </row>
    <row r="1051" spans="1:13" ht="24.75" customHeight="1">
      <c r="A1051" s="184" t="s">
        <v>174</v>
      </c>
      <c r="B1051" s="187">
        <v>5</v>
      </c>
      <c r="C1051" s="187">
        <v>5</v>
      </c>
      <c r="D1051" s="187"/>
      <c r="E1051" s="187"/>
      <c r="F1051" s="187"/>
      <c r="G1051" s="187"/>
      <c r="H1051" s="187"/>
      <c r="I1051" s="317"/>
      <c r="J1051" s="317"/>
      <c r="K1051" s="14"/>
      <c r="L1051" s="35" t="s">
        <v>85</v>
      </c>
      <c r="M1051" s="103">
        <f>D1068+B1131</f>
        <v>186</v>
      </c>
    </row>
    <row r="1052" spans="1:13" ht="24.75" customHeight="1">
      <c r="A1052" s="184" t="s">
        <v>175</v>
      </c>
      <c r="B1052" s="187">
        <v>6</v>
      </c>
      <c r="C1052" s="187">
        <v>6</v>
      </c>
      <c r="D1052" s="187"/>
      <c r="E1052" s="187"/>
      <c r="F1052" s="183"/>
      <c r="G1052" s="183"/>
      <c r="H1052" s="187"/>
      <c r="I1052" s="317"/>
      <c r="J1052" s="317"/>
      <c r="K1052" s="14"/>
      <c r="L1052" s="35" t="s">
        <v>127</v>
      </c>
      <c r="M1052" s="103">
        <f>D1111</f>
        <v>200</v>
      </c>
    </row>
    <row r="1053" spans="1:13" ht="24.75" customHeight="1">
      <c r="A1053" s="184" t="s">
        <v>12</v>
      </c>
      <c r="B1053" s="187">
        <v>6</v>
      </c>
      <c r="C1053" s="187">
        <v>6</v>
      </c>
      <c r="D1053" s="187"/>
      <c r="E1053" s="187"/>
      <c r="F1053" s="183"/>
      <c r="G1053" s="183"/>
      <c r="H1053" s="187"/>
      <c r="I1053" s="317"/>
      <c r="J1053" s="317"/>
      <c r="K1053" s="14"/>
      <c r="L1053" s="35" t="s">
        <v>86</v>
      </c>
      <c r="M1053" s="103">
        <f>B1104</f>
        <v>20</v>
      </c>
    </row>
    <row r="1054" spans="1:35" s="211" customFormat="1" ht="24.75" customHeight="1">
      <c r="A1054" s="139" t="s">
        <v>29</v>
      </c>
      <c r="B1054" s="187">
        <v>2</v>
      </c>
      <c r="C1054" s="187">
        <v>2</v>
      </c>
      <c r="D1054" s="187"/>
      <c r="E1054" s="187"/>
      <c r="F1054" s="183"/>
      <c r="G1054" s="183"/>
      <c r="H1054" s="187"/>
      <c r="I1054" s="317"/>
      <c r="J1054" s="317"/>
      <c r="K1054" s="14"/>
      <c r="L1054" s="35" t="s">
        <v>87</v>
      </c>
      <c r="M1054" s="103">
        <f>B1130++B1105+B1053+C1065</f>
        <v>51</v>
      </c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204"/>
      <c r="Z1054" s="204"/>
      <c r="AA1054" s="204"/>
      <c r="AB1054" s="204"/>
      <c r="AC1054" s="204"/>
      <c r="AD1054" s="204"/>
      <c r="AE1054" s="204"/>
      <c r="AF1054" s="204"/>
      <c r="AG1054" s="204"/>
      <c r="AH1054" s="204"/>
      <c r="AI1054" s="204"/>
    </row>
    <row r="1055" spans="1:35" s="211" customFormat="1" ht="24.75" customHeight="1">
      <c r="A1055" s="171" t="s">
        <v>178</v>
      </c>
      <c r="B1055" s="187">
        <v>2</v>
      </c>
      <c r="C1055" s="187">
        <v>2</v>
      </c>
      <c r="D1055" s="187"/>
      <c r="E1055" s="187"/>
      <c r="F1055" s="183"/>
      <c r="G1055" s="183"/>
      <c r="H1055" s="187"/>
      <c r="I1055" s="317"/>
      <c r="J1055" s="317"/>
      <c r="K1055" s="14"/>
      <c r="L1055" s="240" t="s">
        <v>207</v>
      </c>
      <c r="M1055" s="106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04"/>
      <c r="Z1055" s="204"/>
      <c r="AA1055" s="204"/>
      <c r="AB1055" s="204"/>
      <c r="AC1055" s="204"/>
      <c r="AD1055" s="204"/>
      <c r="AE1055" s="204"/>
      <c r="AF1055" s="204"/>
      <c r="AG1055" s="204"/>
      <c r="AH1055" s="204"/>
      <c r="AI1055" s="204"/>
    </row>
    <row r="1056" spans="1:35" s="211" customFormat="1" ht="24.75" customHeight="1">
      <c r="A1056" s="184" t="s">
        <v>179</v>
      </c>
      <c r="B1056" s="187">
        <v>3</v>
      </c>
      <c r="C1056" s="187">
        <v>3</v>
      </c>
      <c r="D1056" s="187"/>
      <c r="E1056" s="187"/>
      <c r="F1056" s="183"/>
      <c r="G1056" s="183"/>
      <c r="H1056" s="187"/>
      <c r="I1056" s="317"/>
      <c r="J1056" s="317"/>
      <c r="K1056" s="14"/>
      <c r="L1056" s="35" t="s">
        <v>128</v>
      </c>
      <c r="M1056" s="103">
        <f>B1064</f>
        <v>1</v>
      </c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04"/>
      <c r="Z1056" s="204"/>
      <c r="AA1056" s="204"/>
      <c r="AB1056" s="204"/>
      <c r="AC1056" s="204"/>
      <c r="AD1056" s="204"/>
      <c r="AE1056" s="204"/>
      <c r="AF1056" s="204"/>
      <c r="AG1056" s="204"/>
      <c r="AH1056" s="204"/>
      <c r="AI1056" s="204"/>
    </row>
    <row r="1057" spans="1:35" s="211" customFormat="1" ht="24.75" customHeight="1">
      <c r="A1057" s="139" t="s">
        <v>95</v>
      </c>
      <c r="B1057" s="188">
        <v>2.3333333333333335</v>
      </c>
      <c r="C1057" s="188">
        <v>2.3333333333333335</v>
      </c>
      <c r="D1057" s="187"/>
      <c r="E1057" s="187"/>
      <c r="F1057" s="183"/>
      <c r="G1057" s="183"/>
      <c r="H1057" s="187"/>
      <c r="I1057" s="317"/>
      <c r="J1057" s="317"/>
      <c r="K1057" s="14"/>
      <c r="L1057" s="35" t="s">
        <v>88</v>
      </c>
      <c r="M1057" s="103">
        <f>B1129</f>
        <v>0.4</v>
      </c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04"/>
      <c r="Z1057" s="204"/>
      <c r="AA1057" s="204"/>
      <c r="AB1057" s="204"/>
      <c r="AC1057" s="204"/>
      <c r="AD1057" s="204"/>
      <c r="AE1057" s="204"/>
      <c r="AF1057" s="204"/>
      <c r="AG1057" s="204"/>
      <c r="AH1057" s="204"/>
      <c r="AI1057" s="204"/>
    </row>
    <row r="1058" spans="1:35" s="211" customFormat="1" ht="24.75" customHeight="1">
      <c r="A1058" s="115" t="s">
        <v>405</v>
      </c>
      <c r="B1058" s="42">
        <v>30</v>
      </c>
      <c r="C1058" s="42">
        <v>30</v>
      </c>
      <c r="D1058" s="142"/>
      <c r="E1058" s="142"/>
      <c r="F1058" s="161"/>
      <c r="G1058" s="161"/>
      <c r="H1058" s="142"/>
      <c r="I1058" s="306"/>
      <c r="J1058" s="306"/>
      <c r="K1058" s="14"/>
      <c r="L1058" s="35" t="s">
        <v>137</v>
      </c>
      <c r="M1058" s="103">
        <f>B1094</f>
        <v>107.44000000000001</v>
      </c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04"/>
      <c r="Z1058" s="204"/>
      <c r="AA1058" s="204"/>
      <c r="AB1058" s="204"/>
      <c r="AC1058" s="204"/>
      <c r="AD1058" s="204"/>
      <c r="AE1058" s="204"/>
      <c r="AF1058" s="204"/>
      <c r="AG1058" s="204"/>
      <c r="AH1058" s="204"/>
      <c r="AI1058" s="204"/>
    </row>
    <row r="1059" spans="1:35" s="211" customFormat="1" ht="42" customHeight="1">
      <c r="A1059" s="508" t="s">
        <v>563</v>
      </c>
      <c r="B1059" s="509"/>
      <c r="C1059" s="510"/>
      <c r="D1059" s="95">
        <v>90</v>
      </c>
      <c r="E1059" s="145">
        <v>3.3</v>
      </c>
      <c r="F1059" s="145">
        <v>2.7</v>
      </c>
      <c r="G1059" s="145">
        <v>5.6</v>
      </c>
      <c r="H1059" s="152">
        <f>G1059*4+F1059*9+E1059*4</f>
        <v>59.900000000000006</v>
      </c>
      <c r="I1059" s="317"/>
      <c r="J1059" s="317"/>
      <c r="K1059" s="14"/>
      <c r="L1059" s="240" t="s">
        <v>208</v>
      </c>
      <c r="M1059" s="102">
        <f>B1120</f>
        <v>87.482</v>
      </c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04"/>
      <c r="Z1059" s="204"/>
      <c r="AA1059" s="204"/>
      <c r="AB1059" s="204"/>
      <c r="AC1059" s="204"/>
      <c r="AD1059" s="204"/>
      <c r="AE1059" s="204"/>
      <c r="AF1059" s="204"/>
      <c r="AG1059" s="204"/>
      <c r="AH1059" s="204"/>
      <c r="AI1059" s="204"/>
    </row>
    <row r="1060" spans="1:35" s="211" customFormat="1" ht="24.75" customHeight="1">
      <c r="A1060" s="49" t="s">
        <v>354</v>
      </c>
      <c r="B1060" s="41"/>
      <c r="C1060" s="41"/>
      <c r="D1060" s="80" t="s">
        <v>333</v>
      </c>
      <c r="E1060" s="145">
        <v>1.6</v>
      </c>
      <c r="F1060" s="145">
        <v>8.7</v>
      </c>
      <c r="G1060" s="145">
        <v>9.9</v>
      </c>
      <c r="H1060" s="152">
        <f>E1060*4+F1060*9+G1060*4</f>
        <v>124.30000000000001</v>
      </c>
      <c r="I1060" s="306">
        <v>0</v>
      </c>
      <c r="J1060" s="306" t="s">
        <v>357</v>
      </c>
      <c r="K1060" s="14"/>
      <c r="L1060" s="35" t="s">
        <v>89</v>
      </c>
      <c r="M1060" s="103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04"/>
      <c r="Z1060" s="204"/>
      <c r="AA1060" s="204"/>
      <c r="AB1060" s="204"/>
      <c r="AC1060" s="204"/>
      <c r="AD1060" s="204"/>
      <c r="AE1060" s="204"/>
      <c r="AF1060" s="204"/>
      <c r="AG1060" s="204"/>
      <c r="AH1060" s="204"/>
      <c r="AI1060" s="204"/>
    </row>
    <row r="1061" spans="1:24" ht="24.75" customHeight="1">
      <c r="A1061" s="172" t="s">
        <v>356</v>
      </c>
      <c r="B1061" s="16">
        <v>20</v>
      </c>
      <c r="C1061" s="16">
        <v>20</v>
      </c>
      <c r="D1061" s="16"/>
      <c r="E1061" s="50"/>
      <c r="F1061" s="50"/>
      <c r="G1061" s="50"/>
      <c r="H1061" s="42"/>
      <c r="I1061" s="306"/>
      <c r="J1061" s="306"/>
      <c r="K1061" s="14"/>
      <c r="L1061" s="35" t="s">
        <v>130</v>
      </c>
      <c r="M1061" s="103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</row>
    <row r="1062" spans="1:13" ht="24.75" customHeight="1">
      <c r="A1062" s="172" t="s">
        <v>355</v>
      </c>
      <c r="B1062" s="153">
        <v>10</v>
      </c>
      <c r="C1062" s="153">
        <v>10</v>
      </c>
      <c r="D1062" s="151"/>
      <c r="E1062" s="145"/>
      <c r="F1062" s="145"/>
      <c r="G1062" s="145"/>
      <c r="H1062" s="152"/>
      <c r="I1062" s="306"/>
      <c r="J1062" s="306"/>
      <c r="K1062" s="14"/>
      <c r="L1062" s="36" t="s">
        <v>131</v>
      </c>
      <c r="M1062" s="101">
        <f>B1066+B1136+C1058</f>
        <v>340</v>
      </c>
    </row>
    <row r="1063" spans="1:13" ht="24.75" customHeight="1">
      <c r="A1063" s="454" t="s">
        <v>393</v>
      </c>
      <c r="B1063" s="454"/>
      <c r="C1063" s="454"/>
      <c r="D1063" s="143">
        <v>200</v>
      </c>
      <c r="E1063" s="144">
        <v>2.2</v>
      </c>
      <c r="F1063" s="144">
        <v>2.4</v>
      </c>
      <c r="G1063" s="144">
        <v>15.6</v>
      </c>
      <c r="H1063" s="152">
        <f>E1063*4+F1063*9+G1063*4</f>
        <v>92.8</v>
      </c>
      <c r="I1063" s="306">
        <v>1.3</v>
      </c>
      <c r="J1063" s="306" t="s">
        <v>397</v>
      </c>
      <c r="K1063" s="14"/>
      <c r="L1063" s="39" t="s">
        <v>331</v>
      </c>
      <c r="M1063" s="106">
        <f>D1059</f>
        <v>90</v>
      </c>
    </row>
    <row r="1064" spans="1:13" ht="24.75" customHeight="1">
      <c r="A1064" s="184" t="s">
        <v>396</v>
      </c>
      <c r="B1064" s="183">
        <v>1</v>
      </c>
      <c r="C1064" s="183">
        <v>1</v>
      </c>
      <c r="D1064" s="143"/>
      <c r="E1064" s="144"/>
      <c r="F1064" s="144"/>
      <c r="G1064" s="144"/>
      <c r="H1064" s="152"/>
      <c r="I1064" s="306"/>
      <c r="J1064" s="306"/>
      <c r="K1064" s="14"/>
      <c r="L1064" s="35" t="s">
        <v>90</v>
      </c>
      <c r="M1064" s="103">
        <f>B1050</f>
        <v>64</v>
      </c>
    </row>
    <row r="1065" spans="1:13" ht="12.75" customHeight="1">
      <c r="A1065" s="123" t="s">
        <v>12</v>
      </c>
      <c r="B1065" s="112">
        <v>15</v>
      </c>
      <c r="C1065" s="112">
        <v>15</v>
      </c>
      <c r="D1065" s="112"/>
      <c r="E1065" s="112"/>
      <c r="F1065" s="112"/>
      <c r="G1065" s="140"/>
      <c r="H1065" s="94"/>
      <c r="I1065" s="112"/>
      <c r="J1065" s="112"/>
      <c r="K1065" s="14"/>
      <c r="L1065" s="35" t="s">
        <v>91</v>
      </c>
      <c r="M1065" s="103">
        <f>B1098+B1090+B1057</f>
        <v>15.333333333333334</v>
      </c>
    </row>
    <row r="1066" spans="1:13" ht="17.25" customHeight="1">
      <c r="A1066" s="123" t="s">
        <v>149</v>
      </c>
      <c r="B1066" s="112">
        <v>100</v>
      </c>
      <c r="C1066" s="112">
        <v>100</v>
      </c>
      <c r="D1066" s="112"/>
      <c r="E1066" s="112"/>
      <c r="F1066" s="112"/>
      <c r="G1066" s="140"/>
      <c r="H1066" s="94"/>
      <c r="I1066" s="112"/>
      <c r="J1066" s="112"/>
      <c r="K1066" s="14"/>
      <c r="L1066" s="35" t="s">
        <v>134</v>
      </c>
      <c r="M1066" s="102"/>
    </row>
    <row r="1067" spans="1:13" ht="24.75" customHeight="1">
      <c r="A1067" s="477" t="s">
        <v>151</v>
      </c>
      <c r="B1067" s="477"/>
      <c r="C1067" s="477"/>
      <c r="D1067" s="477"/>
      <c r="E1067" s="477"/>
      <c r="F1067" s="477"/>
      <c r="G1067" s="477"/>
      <c r="H1067" s="477"/>
      <c r="I1067" s="477"/>
      <c r="J1067" s="477"/>
      <c r="K1067" s="14"/>
      <c r="L1067" s="35" t="s">
        <v>92</v>
      </c>
      <c r="M1067" s="102">
        <f>B1055+B1089++B1102+C1062</f>
        <v>23</v>
      </c>
    </row>
    <row r="1068" spans="1:35" ht="48.75" customHeight="1">
      <c r="A1068" s="472" t="s">
        <v>345</v>
      </c>
      <c r="B1068" s="472"/>
      <c r="C1068" s="472"/>
      <c r="D1068" s="143">
        <v>180</v>
      </c>
      <c r="E1068" s="145">
        <v>0.4</v>
      </c>
      <c r="F1068" s="144">
        <v>0</v>
      </c>
      <c r="G1068" s="145">
        <v>18</v>
      </c>
      <c r="H1068" s="152">
        <f>E1068*4+F1068*9+G1068*4</f>
        <v>73.6</v>
      </c>
      <c r="I1068" s="306">
        <v>12</v>
      </c>
      <c r="J1068" s="306"/>
      <c r="K1068" s="14"/>
      <c r="L1068" s="35" t="s">
        <v>65</v>
      </c>
      <c r="M1068" s="102">
        <f>B1095+B1122+B1076</f>
        <v>15</v>
      </c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</row>
    <row r="1069" spans="1:35" ht="24.75" customHeight="1" thickBot="1">
      <c r="A1069" s="466" t="s">
        <v>18</v>
      </c>
      <c r="B1069" s="466"/>
      <c r="C1069" s="466"/>
      <c r="D1069" s="466"/>
      <c r="E1069" s="116">
        <f>E1070+E1077+E1100+E1092+E1103+E1106+E1107</f>
        <v>27.91</v>
      </c>
      <c r="F1069" s="116">
        <f>F1070+F1077+F1100+F1092+F1103+F1106+F1107</f>
        <v>23.919999999999998</v>
      </c>
      <c r="G1069" s="116">
        <f>G1070+G1077+G1100+G1092+G1103+G1106+G1107</f>
        <v>105.63999999999999</v>
      </c>
      <c r="H1069" s="116">
        <f>H1070+H1077+H1100+H1092+H1103+H1106+H1107</f>
        <v>748.92</v>
      </c>
      <c r="I1069" s="116">
        <f>I1070+I1077+I1100+I1092+I1103+I1106+I1107</f>
        <v>17.702857142857145</v>
      </c>
      <c r="J1069" s="159"/>
      <c r="K1069" s="14"/>
      <c r="L1069" s="37" t="s">
        <v>93</v>
      </c>
      <c r="M1069" s="102">
        <f>B1054</f>
        <v>2</v>
      </c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</row>
    <row r="1070" spans="1:35" ht="24.75" customHeight="1">
      <c r="A1070" s="468" t="s">
        <v>456</v>
      </c>
      <c r="B1070" s="468"/>
      <c r="C1070" s="468"/>
      <c r="D1070" s="41">
        <v>70</v>
      </c>
      <c r="E1070" s="145">
        <v>0.8</v>
      </c>
      <c r="F1070" s="145">
        <v>4</v>
      </c>
      <c r="G1070" s="145">
        <v>3</v>
      </c>
      <c r="H1070" s="45">
        <f>E1070*4+F1070*9+G1070*4</f>
        <v>51.2</v>
      </c>
      <c r="I1070" s="95">
        <v>12.5</v>
      </c>
      <c r="J1070" s="95" t="s">
        <v>348</v>
      </c>
      <c r="K1070" s="14"/>
      <c r="L1070" s="241" t="s">
        <v>209</v>
      </c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</row>
    <row r="1071" spans="1:35" ht="24.75" customHeight="1">
      <c r="A1071" s="401" t="s">
        <v>457</v>
      </c>
      <c r="B1071" s="397">
        <f>C1071*1.25</f>
        <v>37.5</v>
      </c>
      <c r="C1071" s="397">
        <v>30</v>
      </c>
      <c r="D1071" s="395"/>
      <c r="E1071" s="395"/>
      <c r="F1071" s="396"/>
      <c r="G1071" s="395"/>
      <c r="H1071" s="397"/>
      <c r="I1071" s="297"/>
      <c r="J1071" s="297"/>
      <c r="K1071" s="11"/>
      <c r="L1071" s="39" t="s">
        <v>219</v>
      </c>
      <c r="M1071" s="244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</row>
    <row r="1072" spans="1:35" ht="24.75" customHeight="1">
      <c r="A1072" s="343" t="s">
        <v>19</v>
      </c>
      <c r="B1072" s="42">
        <f>C1072*1.33</f>
        <v>39.900000000000006</v>
      </c>
      <c r="C1072" s="397">
        <v>30</v>
      </c>
      <c r="D1072" s="395"/>
      <c r="E1072" s="395"/>
      <c r="F1072" s="395"/>
      <c r="G1072" s="395"/>
      <c r="H1072" s="397"/>
      <c r="I1072" s="395"/>
      <c r="J1072" s="395"/>
      <c r="K1072" s="11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</row>
    <row r="1073" spans="1:35" ht="24.75" customHeight="1">
      <c r="A1073" s="115" t="s">
        <v>430</v>
      </c>
      <c r="B1073" s="55">
        <f>C1073*1.33</f>
        <v>13.3</v>
      </c>
      <c r="C1073" s="48">
        <v>10</v>
      </c>
      <c r="D1073" s="395"/>
      <c r="E1073" s="44"/>
      <c r="F1073" s="44"/>
      <c r="G1073" s="44"/>
      <c r="H1073" s="45"/>
      <c r="I1073" s="297"/>
      <c r="J1073" s="297"/>
      <c r="K1073" s="11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</row>
    <row r="1074" spans="1:35" ht="24.75" customHeight="1">
      <c r="A1074" s="115" t="s">
        <v>289</v>
      </c>
      <c r="B1074" s="397">
        <f>C1074*1.18</f>
        <v>33.04</v>
      </c>
      <c r="C1074" s="153">
        <v>28</v>
      </c>
      <c r="D1074" s="395"/>
      <c r="E1074" s="400"/>
      <c r="F1074" s="400"/>
      <c r="G1074" s="400"/>
      <c r="H1074" s="404"/>
      <c r="I1074" s="297"/>
      <c r="J1074" s="297"/>
      <c r="K1074" s="11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</row>
    <row r="1075" spans="1:11" ht="24.75" customHeight="1">
      <c r="A1075" s="115" t="s">
        <v>222</v>
      </c>
      <c r="B1075" s="142">
        <f>C1075*1.02</f>
        <v>28.560000000000002</v>
      </c>
      <c r="C1075" s="153">
        <v>28</v>
      </c>
      <c r="D1075" s="395"/>
      <c r="E1075" s="400"/>
      <c r="F1075" s="400"/>
      <c r="G1075" s="400"/>
      <c r="H1075" s="404"/>
      <c r="I1075" s="297"/>
      <c r="J1075" s="297"/>
      <c r="K1075" s="14"/>
    </row>
    <row r="1076" spans="1:11" ht="24.75" customHeight="1">
      <c r="A1076" s="343" t="s">
        <v>20</v>
      </c>
      <c r="B1076" s="48">
        <v>4</v>
      </c>
      <c r="C1076" s="48">
        <v>4</v>
      </c>
      <c r="D1076" s="395"/>
      <c r="E1076" s="44"/>
      <c r="F1076" s="44"/>
      <c r="G1076" s="44"/>
      <c r="H1076" s="45"/>
      <c r="I1076" s="297"/>
      <c r="J1076" s="297"/>
      <c r="K1076" s="14"/>
    </row>
    <row r="1077" spans="1:11" ht="24.75" customHeight="1">
      <c r="A1077" s="454" t="s">
        <v>577</v>
      </c>
      <c r="B1077" s="454"/>
      <c r="C1077" s="454"/>
      <c r="D1077" s="43" t="s">
        <v>275</v>
      </c>
      <c r="E1077" s="54">
        <v>5.37</v>
      </c>
      <c r="F1077" s="54">
        <v>5.24</v>
      </c>
      <c r="G1077" s="54">
        <v>13.8</v>
      </c>
      <c r="H1077" s="45">
        <f>E1077*4+F1077*9+G1077*4</f>
        <v>123.84</v>
      </c>
      <c r="I1077" s="307">
        <v>3.992857142857143</v>
      </c>
      <c r="J1077" s="306" t="s">
        <v>485</v>
      </c>
      <c r="K1077" s="14"/>
    </row>
    <row r="1078" spans="1:11" ht="24.75" customHeight="1">
      <c r="A1078" s="437" t="s">
        <v>52</v>
      </c>
      <c r="B1078" s="437">
        <v>16</v>
      </c>
      <c r="C1078" s="437">
        <v>14</v>
      </c>
      <c r="D1078" s="43"/>
      <c r="E1078" s="54"/>
      <c r="F1078" s="54"/>
      <c r="G1078" s="54"/>
      <c r="H1078" s="45"/>
      <c r="I1078" s="307"/>
      <c r="J1078" s="306"/>
      <c r="K1078" s="14"/>
    </row>
    <row r="1079" spans="1:11" ht="24.75" customHeight="1">
      <c r="A1079" s="123" t="s">
        <v>46</v>
      </c>
      <c r="B1079" s="94">
        <f>C1079*1.25</f>
        <v>25</v>
      </c>
      <c r="C1079" s="112">
        <v>20</v>
      </c>
      <c r="D1079" s="191"/>
      <c r="E1079" s="140"/>
      <c r="F1079" s="192"/>
      <c r="G1079" s="192"/>
      <c r="H1079" s="193"/>
      <c r="I1079" s="321"/>
      <c r="J1079" s="319"/>
      <c r="K1079" s="14"/>
    </row>
    <row r="1080" spans="1:11" ht="24.75" customHeight="1">
      <c r="A1080" s="123" t="s">
        <v>145</v>
      </c>
      <c r="B1080" s="94">
        <v>31</v>
      </c>
      <c r="C1080" s="112">
        <v>30</v>
      </c>
      <c r="D1080" s="191"/>
      <c r="E1080" s="145"/>
      <c r="F1080" s="145"/>
      <c r="G1080" s="145"/>
      <c r="H1080" s="152"/>
      <c r="I1080" s="306"/>
      <c r="J1080" s="306"/>
      <c r="K1080" s="14"/>
    </row>
    <row r="1081" spans="1:11" ht="24.75" customHeight="1">
      <c r="A1081" s="184" t="s">
        <v>21</v>
      </c>
      <c r="B1081" s="187">
        <f>C1081*1.33</f>
        <v>113.05000000000001</v>
      </c>
      <c r="C1081" s="162">
        <v>85</v>
      </c>
      <c r="D1081" s="185"/>
      <c r="E1081" s="188"/>
      <c r="F1081" s="188"/>
      <c r="G1081" s="188"/>
      <c r="H1081" s="188"/>
      <c r="I1081" s="188"/>
      <c r="J1081" s="319"/>
      <c r="K1081" s="14"/>
    </row>
    <row r="1082" spans="1:11" ht="24.75" customHeight="1">
      <c r="A1082" s="123" t="s">
        <v>22</v>
      </c>
      <c r="B1082" s="94">
        <f>C1082*1.43</f>
        <v>121.55</v>
      </c>
      <c r="C1082" s="162">
        <v>85</v>
      </c>
      <c r="D1082" s="191"/>
      <c r="E1082" s="140"/>
      <c r="F1082" s="140"/>
      <c r="G1082" s="140"/>
      <c r="H1082" s="94"/>
      <c r="I1082" s="316"/>
      <c r="J1082" s="317"/>
      <c r="K1082" s="14"/>
    </row>
    <row r="1083" spans="1:11" ht="24.75" customHeight="1">
      <c r="A1083" s="123" t="s">
        <v>23</v>
      </c>
      <c r="B1083" s="94">
        <f>C1083*1.54</f>
        <v>130.9</v>
      </c>
      <c r="C1083" s="162">
        <v>85</v>
      </c>
      <c r="D1083" s="191"/>
      <c r="E1083" s="140"/>
      <c r="F1083" s="192"/>
      <c r="G1083" s="192"/>
      <c r="H1083" s="193"/>
      <c r="I1083" s="321"/>
      <c r="J1083" s="319"/>
      <c r="K1083" s="14"/>
    </row>
    <row r="1084" spans="1:11" ht="24.75" customHeight="1">
      <c r="A1084" s="123" t="s">
        <v>24</v>
      </c>
      <c r="B1084" s="94">
        <f>C1084*1.67</f>
        <v>141.95</v>
      </c>
      <c r="C1084" s="162">
        <v>85</v>
      </c>
      <c r="D1084" s="191"/>
      <c r="E1084" s="140"/>
      <c r="F1084" s="192"/>
      <c r="G1084" s="192"/>
      <c r="H1084" s="193"/>
      <c r="I1084" s="321"/>
      <c r="J1084" s="319"/>
      <c r="K1084" s="14"/>
    </row>
    <row r="1085" spans="1:11" ht="24.75" customHeight="1">
      <c r="A1085" s="123" t="s">
        <v>25</v>
      </c>
      <c r="B1085" s="140">
        <f>C1085*1.25</f>
        <v>12.5</v>
      </c>
      <c r="C1085" s="112">
        <v>10</v>
      </c>
      <c r="D1085" s="191"/>
      <c r="E1085" s="140"/>
      <c r="F1085" s="192"/>
      <c r="G1085" s="192"/>
      <c r="H1085" s="193"/>
      <c r="I1085" s="321"/>
      <c r="J1085" s="319"/>
      <c r="K1085" s="14"/>
    </row>
    <row r="1086" spans="1:11" ht="24.75" customHeight="1">
      <c r="A1086" s="123" t="s">
        <v>19</v>
      </c>
      <c r="B1086" s="94">
        <f>C1086*1.33</f>
        <v>13.3</v>
      </c>
      <c r="C1086" s="112">
        <v>10</v>
      </c>
      <c r="D1086" s="191"/>
      <c r="E1086" s="140"/>
      <c r="F1086" s="192"/>
      <c r="G1086" s="192"/>
      <c r="H1086" s="193"/>
      <c r="I1086" s="321"/>
      <c r="J1086" s="319"/>
      <c r="K1086" s="14"/>
    </row>
    <row r="1087" spans="1:11" ht="24.75" customHeight="1">
      <c r="A1087" s="123" t="s">
        <v>26</v>
      </c>
      <c r="B1087" s="94">
        <f>C1087*1.19</f>
        <v>11.899999999999999</v>
      </c>
      <c r="C1087" s="112">
        <v>10</v>
      </c>
      <c r="D1087" s="191"/>
      <c r="E1087" s="140"/>
      <c r="F1087" s="192"/>
      <c r="G1087" s="192"/>
      <c r="H1087" s="193"/>
      <c r="I1087" s="321"/>
      <c r="J1087" s="319"/>
      <c r="K1087" s="14"/>
    </row>
    <row r="1088" spans="1:11" ht="18" customHeight="1">
      <c r="A1088" s="115" t="s">
        <v>213</v>
      </c>
      <c r="B1088" s="42">
        <f>C1088*1.11</f>
        <v>19.98</v>
      </c>
      <c r="C1088" s="112">
        <v>18</v>
      </c>
      <c r="D1088" s="191"/>
      <c r="E1088" s="192"/>
      <c r="F1088" s="192"/>
      <c r="G1088" s="192"/>
      <c r="H1088" s="193"/>
      <c r="I1088" s="321"/>
      <c r="J1088" s="319"/>
      <c r="K1088" s="14"/>
    </row>
    <row r="1089" spans="1:11" ht="18.75" customHeight="1">
      <c r="A1089" s="123" t="s">
        <v>27</v>
      </c>
      <c r="B1089" s="94">
        <v>6</v>
      </c>
      <c r="C1089" s="112">
        <v>6</v>
      </c>
      <c r="D1089" s="191"/>
      <c r="E1089" s="140"/>
      <c r="F1089" s="192"/>
      <c r="G1089" s="192"/>
      <c r="H1089" s="193"/>
      <c r="I1089" s="321"/>
      <c r="J1089" s="319"/>
      <c r="K1089" s="14"/>
    </row>
    <row r="1090" spans="1:11" ht="24.75" customHeight="1">
      <c r="A1090" s="115" t="s">
        <v>95</v>
      </c>
      <c r="B1090" s="112">
        <v>5</v>
      </c>
      <c r="C1090" s="112">
        <v>5</v>
      </c>
      <c r="D1090" s="191"/>
      <c r="E1090" s="50"/>
      <c r="F1090" s="50"/>
      <c r="G1090" s="50"/>
      <c r="H1090" s="42"/>
      <c r="I1090" s="307"/>
      <c r="J1090" s="306"/>
      <c r="K1090" s="14"/>
    </row>
    <row r="1091" spans="1:11" ht="24.75" customHeight="1">
      <c r="A1091" s="123" t="s">
        <v>70</v>
      </c>
      <c r="B1091" s="94">
        <v>3</v>
      </c>
      <c r="C1091" s="112">
        <v>2</v>
      </c>
      <c r="D1091" s="16"/>
      <c r="E1091" s="50"/>
      <c r="F1091" s="50"/>
      <c r="G1091" s="50"/>
      <c r="H1091" s="42"/>
      <c r="I1091" s="307"/>
      <c r="J1091" s="306"/>
      <c r="K1091" s="14"/>
    </row>
    <row r="1092" spans="1:11" ht="24.75" customHeight="1">
      <c r="A1092" s="468" t="s">
        <v>168</v>
      </c>
      <c r="B1092" s="468"/>
      <c r="C1092" s="468"/>
      <c r="D1092" s="43">
        <v>90</v>
      </c>
      <c r="E1092" s="144">
        <v>10.1</v>
      </c>
      <c r="F1092" s="144">
        <v>10.1</v>
      </c>
      <c r="G1092" s="144">
        <v>1.4</v>
      </c>
      <c r="H1092" s="152">
        <f>E1092*4+F1092*9+G1092*4</f>
        <v>136.89999999999998</v>
      </c>
      <c r="I1092" s="306">
        <v>1.05</v>
      </c>
      <c r="J1092" s="306" t="s">
        <v>455</v>
      </c>
      <c r="K1092" s="10"/>
    </row>
    <row r="1093" spans="1:11" ht="20.25" customHeight="1">
      <c r="A1093" s="117" t="s">
        <v>69</v>
      </c>
      <c r="B1093" s="138">
        <f>C1093*1.18</f>
        <v>93.22</v>
      </c>
      <c r="C1093" s="112">
        <v>79</v>
      </c>
      <c r="D1093" s="193"/>
      <c r="E1093" s="193"/>
      <c r="F1093" s="192"/>
      <c r="G1093" s="192"/>
      <c r="H1093" s="193"/>
      <c r="I1093" s="321"/>
      <c r="J1093" s="319"/>
      <c r="K1093" s="14"/>
    </row>
    <row r="1094" spans="1:11" ht="20.25" customHeight="1">
      <c r="A1094" s="195" t="s">
        <v>73</v>
      </c>
      <c r="B1094" s="196">
        <f>C1094*1.36</f>
        <v>107.44000000000001</v>
      </c>
      <c r="C1094" s="112">
        <v>79</v>
      </c>
      <c r="D1094" s="193"/>
      <c r="E1094" s="193"/>
      <c r="F1094" s="193"/>
      <c r="G1094" s="193"/>
      <c r="H1094" s="97"/>
      <c r="I1094" s="313"/>
      <c r="J1094" s="306"/>
      <c r="K1094" s="14"/>
    </row>
    <row r="1095" spans="1:11" ht="18" customHeight="1">
      <c r="A1095" s="123" t="s">
        <v>20</v>
      </c>
      <c r="B1095" s="112">
        <v>5</v>
      </c>
      <c r="C1095" s="112">
        <v>5</v>
      </c>
      <c r="D1095" s="193"/>
      <c r="E1095" s="193"/>
      <c r="F1095" s="140"/>
      <c r="G1095" s="140"/>
      <c r="H1095" s="94"/>
      <c r="I1095" s="316"/>
      <c r="J1095" s="317"/>
      <c r="K1095" s="14"/>
    </row>
    <row r="1096" spans="1:11" ht="15" customHeight="1">
      <c r="A1096" s="123" t="s">
        <v>26</v>
      </c>
      <c r="B1096" s="94">
        <f>C1096*1.19</f>
        <v>23.799999999999997</v>
      </c>
      <c r="C1096" s="112">
        <v>20</v>
      </c>
      <c r="D1096" s="193"/>
      <c r="E1096" s="193"/>
      <c r="F1096" s="193"/>
      <c r="G1096" s="193"/>
      <c r="H1096" s="187"/>
      <c r="I1096" s="317"/>
      <c r="J1096" s="317"/>
      <c r="K1096" s="14"/>
    </row>
    <row r="1097" spans="1:11" ht="17.25" customHeight="1">
      <c r="A1097" s="123" t="s">
        <v>28</v>
      </c>
      <c r="B1097" s="112">
        <v>3</v>
      </c>
      <c r="C1097" s="112">
        <v>3</v>
      </c>
      <c r="D1097" s="193"/>
      <c r="E1097" s="193"/>
      <c r="F1097" s="140"/>
      <c r="G1097" s="140"/>
      <c r="H1097" s="94"/>
      <c r="I1097" s="316"/>
      <c r="J1097" s="317"/>
      <c r="K1097" s="14"/>
    </row>
    <row r="1098" spans="1:11" ht="20.25" customHeight="1">
      <c r="A1098" s="115" t="s">
        <v>95</v>
      </c>
      <c r="B1098" s="112">
        <v>8</v>
      </c>
      <c r="C1098" s="112">
        <v>8</v>
      </c>
      <c r="D1098" s="193"/>
      <c r="E1098" s="193"/>
      <c r="F1098" s="140"/>
      <c r="G1098" s="140"/>
      <c r="H1098" s="94"/>
      <c r="I1098" s="316"/>
      <c r="J1098" s="317"/>
      <c r="K1098" s="14"/>
    </row>
    <row r="1099" spans="1:11" ht="15" customHeight="1">
      <c r="A1099" s="115" t="s">
        <v>110</v>
      </c>
      <c r="B1099" s="112">
        <v>32</v>
      </c>
      <c r="C1099" s="112">
        <v>32</v>
      </c>
      <c r="D1099" s="193"/>
      <c r="E1099" s="193"/>
      <c r="F1099" s="140"/>
      <c r="G1099" s="140"/>
      <c r="H1099" s="94"/>
      <c r="I1099" s="316"/>
      <c r="J1099" s="317"/>
      <c r="K1099" s="14"/>
    </row>
    <row r="1100" spans="1:11" ht="18" customHeight="1">
      <c r="A1100" s="468" t="s">
        <v>160</v>
      </c>
      <c r="B1100" s="468"/>
      <c r="C1100" s="468"/>
      <c r="D1100" s="41">
        <v>150</v>
      </c>
      <c r="E1100" s="145">
        <v>3.7</v>
      </c>
      <c r="F1100" s="145">
        <v>3.2</v>
      </c>
      <c r="G1100" s="145">
        <v>30.5</v>
      </c>
      <c r="H1100" s="45">
        <f>E1100*4+F1100*9+G1100*4</f>
        <v>165.6</v>
      </c>
      <c r="I1100" s="307">
        <v>0</v>
      </c>
      <c r="J1100" s="306" t="s">
        <v>375</v>
      </c>
      <c r="K1100" s="14"/>
    </row>
    <row r="1101" spans="1:11" ht="18" customHeight="1">
      <c r="A1101" s="123" t="s">
        <v>107</v>
      </c>
      <c r="B1101" s="94">
        <v>53</v>
      </c>
      <c r="C1101" s="94">
        <v>53</v>
      </c>
      <c r="D1101" s="112"/>
      <c r="E1101" s="112"/>
      <c r="F1101" s="112"/>
      <c r="G1101" s="112"/>
      <c r="H1101" s="94"/>
      <c r="I1101" s="316"/>
      <c r="J1101" s="317"/>
      <c r="K1101" s="14"/>
    </row>
    <row r="1102" spans="1:11" ht="15.75" customHeight="1">
      <c r="A1102" s="123" t="s">
        <v>27</v>
      </c>
      <c r="B1102" s="94">
        <v>5</v>
      </c>
      <c r="C1102" s="94">
        <v>5</v>
      </c>
      <c r="D1102" s="112"/>
      <c r="E1102" s="140"/>
      <c r="F1102" s="140"/>
      <c r="G1102" s="140"/>
      <c r="H1102" s="94"/>
      <c r="I1102" s="316"/>
      <c r="J1102" s="317"/>
      <c r="K1102" s="14"/>
    </row>
    <row r="1103" spans="1:11" ht="16.5" customHeight="1">
      <c r="A1103" s="468" t="s">
        <v>60</v>
      </c>
      <c r="B1103" s="468"/>
      <c r="C1103" s="468"/>
      <c r="D1103" s="151">
        <v>200</v>
      </c>
      <c r="E1103" s="145">
        <v>0.7</v>
      </c>
      <c r="F1103" s="145">
        <v>0.1</v>
      </c>
      <c r="G1103" s="145">
        <v>21.7</v>
      </c>
      <c r="H1103" s="45">
        <f>E1103*4+F1103*9+G1103*4</f>
        <v>90.5</v>
      </c>
      <c r="I1103" s="307">
        <v>0.16</v>
      </c>
      <c r="J1103" s="306" t="s">
        <v>360</v>
      </c>
      <c r="K1103" s="14"/>
    </row>
    <row r="1104" spans="1:11" ht="24.75" customHeight="1">
      <c r="A1104" s="123" t="s">
        <v>66</v>
      </c>
      <c r="B1104" s="112">
        <v>20</v>
      </c>
      <c r="C1104" s="112">
        <v>20</v>
      </c>
      <c r="D1104" s="112"/>
      <c r="E1104" s="140"/>
      <c r="F1104" s="140"/>
      <c r="G1104" s="140"/>
      <c r="H1104" s="94"/>
      <c r="I1104" s="316"/>
      <c r="J1104" s="317"/>
      <c r="K1104" s="64"/>
    </row>
    <row r="1105" spans="1:11" ht="24.75" customHeight="1">
      <c r="A1105" s="184" t="s">
        <v>12</v>
      </c>
      <c r="B1105" s="183">
        <v>15</v>
      </c>
      <c r="C1105" s="183">
        <v>15</v>
      </c>
      <c r="D1105" s="183"/>
      <c r="E1105" s="188"/>
      <c r="F1105" s="188"/>
      <c r="G1105" s="188"/>
      <c r="H1105" s="188"/>
      <c r="I1105" s="188"/>
      <c r="J1105" s="317"/>
      <c r="K1105" s="14"/>
    </row>
    <row r="1106" spans="1:11" ht="24.75" customHeight="1">
      <c r="A1106" s="461" t="s">
        <v>258</v>
      </c>
      <c r="B1106" s="461"/>
      <c r="C1106" s="461"/>
      <c r="D1106" s="151">
        <v>40</v>
      </c>
      <c r="E1106" s="145">
        <v>3.28</v>
      </c>
      <c r="F1106" s="145">
        <v>0.56</v>
      </c>
      <c r="G1106" s="145">
        <v>15.2</v>
      </c>
      <c r="H1106" s="152">
        <v>78.4</v>
      </c>
      <c r="I1106" s="306">
        <v>0</v>
      </c>
      <c r="J1106" s="306"/>
      <c r="K1106" s="13"/>
    </row>
    <row r="1107" spans="1:10" ht="24.75" customHeight="1">
      <c r="A1107" s="461" t="s">
        <v>72</v>
      </c>
      <c r="B1107" s="461"/>
      <c r="C1107" s="461"/>
      <c r="D1107" s="151">
        <v>60</v>
      </c>
      <c r="E1107" s="145">
        <v>3.96</v>
      </c>
      <c r="F1107" s="145">
        <v>0.72</v>
      </c>
      <c r="G1107" s="145">
        <v>20.04</v>
      </c>
      <c r="H1107" s="152">
        <v>102.47999999999999</v>
      </c>
      <c r="I1107" s="306">
        <v>0</v>
      </c>
      <c r="J1107" s="306"/>
    </row>
    <row r="1108" spans="1:11" ht="24.75" customHeight="1">
      <c r="A1108" s="466" t="s">
        <v>61</v>
      </c>
      <c r="B1108" s="466"/>
      <c r="C1108" s="466"/>
      <c r="D1108" s="466"/>
      <c r="E1108" s="128">
        <f>E1109+E1111</f>
        <v>1.6</v>
      </c>
      <c r="F1108" s="128">
        <f>F1109+F1111</f>
        <v>1.6</v>
      </c>
      <c r="G1108" s="128">
        <f>G1109+G1111</f>
        <v>68.6</v>
      </c>
      <c r="H1108" s="116">
        <f>H1109+H1111</f>
        <v>295.20000000000005</v>
      </c>
      <c r="I1108" s="128">
        <f>I1109+I1111</f>
        <v>19</v>
      </c>
      <c r="J1108" s="128"/>
      <c r="K1108" s="10"/>
    </row>
    <row r="1109" spans="1:11" ht="39.75" customHeight="1">
      <c r="A1109" s="462" t="s">
        <v>559</v>
      </c>
      <c r="B1109" s="462"/>
      <c r="C1109" s="462"/>
      <c r="D1109" s="143">
        <v>90</v>
      </c>
      <c r="E1109" s="144">
        <v>1.5</v>
      </c>
      <c r="F1109" s="144">
        <v>1.6</v>
      </c>
      <c r="G1109" s="144">
        <v>46.6</v>
      </c>
      <c r="H1109" s="152">
        <f>E1109*4+F1109*9+G1109*4</f>
        <v>206.8</v>
      </c>
      <c r="I1109" s="306">
        <v>0</v>
      </c>
      <c r="J1109" s="306"/>
      <c r="K1109" s="10"/>
    </row>
    <row r="1110" spans="1:11" ht="24.75" customHeight="1">
      <c r="A1110" s="463" t="s">
        <v>399</v>
      </c>
      <c r="B1110" s="464"/>
      <c r="C1110" s="465"/>
      <c r="D1110" s="143"/>
      <c r="E1110" s="54"/>
      <c r="F1110" s="54"/>
      <c r="G1110" s="54"/>
      <c r="H1110" s="45"/>
      <c r="I1110" s="307"/>
      <c r="J1110" s="306"/>
      <c r="K1110" s="10"/>
    </row>
    <row r="1111" spans="1:11" ht="77.25" customHeight="1">
      <c r="A1111" s="482" t="s">
        <v>504</v>
      </c>
      <c r="B1111" s="482"/>
      <c r="C1111" s="482"/>
      <c r="D1111" s="143">
        <v>200</v>
      </c>
      <c r="E1111" s="143">
        <v>0.1</v>
      </c>
      <c r="F1111" s="144">
        <v>0</v>
      </c>
      <c r="G1111" s="144">
        <v>22</v>
      </c>
      <c r="H1111" s="152">
        <f>E1111*4+F1111*9+G1111*4</f>
        <v>88.4</v>
      </c>
      <c r="I1111" s="317">
        <v>19</v>
      </c>
      <c r="J1111" s="317" t="s">
        <v>503</v>
      </c>
      <c r="K1111" s="10"/>
    </row>
    <row r="1112" spans="1:11" ht="24.75" customHeight="1">
      <c r="A1112" s="466" t="s">
        <v>30</v>
      </c>
      <c r="B1112" s="466"/>
      <c r="C1112" s="466"/>
      <c r="D1112" s="466"/>
      <c r="E1112" s="128">
        <f>E1113+E1118+E1128+E1132+E1133+E1135</f>
        <v>20.05</v>
      </c>
      <c r="F1112" s="128">
        <f>F1113+F1118+F1128+F1132+F1133+F1135</f>
        <v>20.19</v>
      </c>
      <c r="G1112" s="128">
        <f>G1113+G1118+G1128+G1132+G1133+G1135</f>
        <v>66.02000000000001</v>
      </c>
      <c r="H1112" s="116">
        <f>H1113+H1118+H1128+H1132+H1133+H1135</f>
        <v>521.9900000000001</v>
      </c>
      <c r="I1112" s="128">
        <f>I1113+I1118+I1128+I1132+I1133+I1135</f>
        <v>14.545000000000002</v>
      </c>
      <c r="J1112" s="128"/>
      <c r="K1112" s="10"/>
    </row>
    <row r="1113" spans="1:24" ht="24.75" customHeight="1">
      <c r="A1113" s="113" t="s">
        <v>546</v>
      </c>
      <c r="B1113" s="173"/>
      <c r="C1113" s="173"/>
      <c r="D1113" s="41">
        <v>70</v>
      </c>
      <c r="E1113" s="44">
        <v>0.4</v>
      </c>
      <c r="F1113" s="44">
        <v>0</v>
      </c>
      <c r="G1113" s="44">
        <v>2.1</v>
      </c>
      <c r="H1113" s="45">
        <f>E1113*4+F1113*9+G1113*4</f>
        <v>10</v>
      </c>
      <c r="I1113" s="307">
        <v>12.005</v>
      </c>
      <c r="J1113" s="306" t="s">
        <v>348</v>
      </c>
      <c r="K1113" s="56"/>
      <c r="N1113" s="165"/>
      <c r="O1113" s="165"/>
      <c r="P1113" s="165"/>
      <c r="Q1113" s="165"/>
      <c r="R1113" s="165"/>
      <c r="S1113" s="165"/>
      <c r="T1113" s="165"/>
      <c r="U1113" s="165"/>
      <c r="V1113" s="165"/>
      <c r="W1113" s="165"/>
      <c r="X1113" s="165"/>
    </row>
    <row r="1114" spans="1:24" ht="24.75" customHeight="1">
      <c r="A1114" s="171" t="s">
        <v>122</v>
      </c>
      <c r="B1114" s="142">
        <f>C1114*1.02</f>
        <v>35.7</v>
      </c>
      <c r="C1114" s="153">
        <v>35</v>
      </c>
      <c r="D1114" s="151"/>
      <c r="E1114" s="145"/>
      <c r="F1114" s="145"/>
      <c r="G1114" s="145"/>
      <c r="H1114" s="152"/>
      <c r="I1114" s="306"/>
      <c r="J1114" s="306"/>
      <c r="K1114" s="57"/>
      <c r="N1114" s="165"/>
      <c r="O1114" s="165"/>
      <c r="P1114" s="165"/>
      <c r="Q1114" s="165"/>
      <c r="R1114" s="165"/>
      <c r="S1114" s="165"/>
      <c r="T1114" s="165"/>
      <c r="U1114" s="165"/>
      <c r="V1114" s="165"/>
      <c r="W1114" s="165"/>
      <c r="X1114" s="165"/>
    </row>
    <row r="1115" spans="1:11" ht="24.75" customHeight="1">
      <c r="A1115" s="184" t="s">
        <v>227</v>
      </c>
      <c r="B1115" s="187">
        <f>C1115*1.18</f>
        <v>41.3</v>
      </c>
      <c r="C1115" s="153">
        <v>35</v>
      </c>
      <c r="D1115" s="151"/>
      <c r="E1115" s="145"/>
      <c r="F1115" s="145"/>
      <c r="G1115" s="145"/>
      <c r="H1115" s="152"/>
      <c r="I1115" s="306"/>
      <c r="J1115" s="306"/>
      <c r="K1115" s="58"/>
    </row>
    <row r="1116" spans="1:11" ht="24.75" customHeight="1">
      <c r="A1116" s="184" t="s">
        <v>163</v>
      </c>
      <c r="B1116" s="187">
        <f>C1116*1.02</f>
        <v>35.7</v>
      </c>
      <c r="C1116" s="187">
        <v>35</v>
      </c>
      <c r="D1116" s="292"/>
      <c r="E1116" s="144"/>
      <c r="F1116" s="144"/>
      <c r="G1116" s="144"/>
      <c r="H1116" s="293"/>
      <c r="I1116" s="317"/>
      <c r="J1116" s="317"/>
      <c r="K1116" s="10"/>
    </row>
    <row r="1117" spans="1:11" ht="24.75" customHeight="1">
      <c r="A1117" s="290" t="s">
        <v>226</v>
      </c>
      <c r="B1117" s="187">
        <f>C1117*1.05</f>
        <v>36.75</v>
      </c>
      <c r="C1117" s="187">
        <v>35</v>
      </c>
      <c r="D1117" s="292"/>
      <c r="E1117" s="144"/>
      <c r="F1117" s="144"/>
      <c r="G1117" s="144"/>
      <c r="H1117" s="293"/>
      <c r="I1117" s="317"/>
      <c r="J1117" s="317"/>
      <c r="K1117" s="14"/>
    </row>
    <row r="1118" spans="1:11" ht="24.75" customHeight="1">
      <c r="A1118" s="461" t="s">
        <v>460</v>
      </c>
      <c r="B1118" s="461"/>
      <c r="C1118" s="461"/>
      <c r="D1118" s="143">
        <v>260</v>
      </c>
      <c r="E1118" s="144">
        <v>12</v>
      </c>
      <c r="F1118" s="144">
        <v>14.8</v>
      </c>
      <c r="G1118" s="144">
        <v>28.5</v>
      </c>
      <c r="H1118" s="152">
        <f>E1118*4+F1118*9+G1118*4</f>
        <v>295.20000000000005</v>
      </c>
      <c r="I1118" s="306">
        <v>0.7</v>
      </c>
      <c r="J1118" s="306" t="s">
        <v>441</v>
      </c>
      <c r="K1118" s="14"/>
    </row>
    <row r="1119" spans="1:11" ht="24.75" customHeight="1">
      <c r="A1119" s="158" t="s">
        <v>426</v>
      </c>
      <c r="B1119" s="219">
        <f>C1119*1.48</f>
        <v>122.84</v>
      </c>
      <c r="C1119" s="112">
        <v>83</v>
      </c>
      <c r="D1119" s="112"/>
      <c r="E1119" s="140"/>
      <c r="F1119" s="140"/>
      <c r="G1119" s="140"/>
      <c r="H1119" s="94"/>
      <c r="I1119" s="316"/>
      <c r="J1119" s="317"/>
      <c r="K1119" s="14"/>
    </row>
    <row r="1120" spans="1:11" ht="24.75" customHeight="1">
      <c r="A1120" s="158" t="s">
        <v>425</v>
      </c>
      <c r="B1120" s="219">
        <f>C1120*1.054</f>
        <v>87.482</v>
      </c>
      <c r="C1120" s="112">
        <v>83</v>
      </c>
      <c r="D1120" s="112"/>
      <c r="E1120" s="140"/>
      <c r="F1120" s="140"/>
      <c r="G1120" s="140"/>
      <c r="H1120" s="94"/>
      <c r="I1120" s="316"/>
      <c r="J1120" s="317"/>
      <c r="K1120" s="14"/>
    </row>
    <row r="1121" spans="1:11" ht="24.75" customHeight="1">
      <c r="A1121" s="158" t="s">
        <v>427</v>
      </c>
      <c r="B1121" s="219">
        <f>C1121*1.054</f>
        <v>87.482</v>
      </c>
      <c r="C1121" s="112">
        <v>83</v>
      </c>
      <c r="D1121" s="112"/>
      <c r="E1121" s="140"/>
      <c r="F1121" s="140"/>
      <c r="G1121" s="140"/>
      <c r="H1121" s="94"/>
      <c r="I1121" s="316"/>
      <c r="J1121" s="317"/>
      <c r="K1121" s="14"/>
    </row>
    <row r="1122" spans="1:11" ht="24.75" customHeight="1">
      <c r="A1122" s="139" t="s">
        <v>20</v>
      </c>
      <c r="B1122" s="153">
        <v>6</v>
      </c>
      <c r="C1122" s="142">
        <v>6</v>
      </c>
      <c r="D1122" s="142"/>
      <c r="E1122" s="142"/>
      <c r="F1122" s="142"/>
      <c r="G1122" s="142"/>
      <c r="H1122" s="232"/>
      <c r="I1122" s="313"/>
      <c r="J1122" s="306"/>
      <c r="K1122" s="14"/>
    </row>
    <row r="1123" spans="1:11" ht="24.75" customHeight="1">
      <c r="A1123" s="115" t="s">
        <v>220</v>
      </c>
      <c r="B1123" s="94"/>
      <c r="C1123" s="112">
        <v>60</v>
      </c>
      <c r="D1123" s="112"/>
      <c r="E1123" s="140"/>
      <c r="F1123" s="140"/>
      <c r="G1123" s="140"/>
      <c r="H1123" s="94"/>
      <c r="I1123" s="316"/>
      <c r="J1123" s="317"/>
      <c r="K1123" s="14"/>
    </row>
    <row r="1124" spans="1:11" ht="24.75" customHeight="1">
      <c r="A1124" s="115" t="s">
        <v>31</v>
      </c>
      <c r="B1124" s="16">
        <v>55</v>
      </c>
      <c r="C1124" s="16">
        <v>55</v>
      </c>
      <c r="D1124" s="16"/>
      <c r="E1124" s="50"/>
      <c r="F1124" s="50"/>
      <c r="G1124" s="50"/>
      <c r="H1124" s="42"/>
      <c r="I1124" s="385"/>
      <c r="J1124" s="385"/>
      <c r="K1124" s="10"/>
    </row>
    <row r="1125" spans="1:11" ht="24.75" customHeight="1">
      <c r="A1125" s="115" t="s">
        <v>25</v>
      </c>
      <c r="B1125" s="42">
        <f>C1125*1.25</f>
        <v>50</v>
      </c>
      <c r="C1125" s="16">
        <v>40</v>
      </c>
      <c r="D1125" s="16"/>
      <c r="E1125" s="50"/>
      <c r="F1125" s="50"/>
      <c r="G1125" s="50"/>
      <c r="H1125" s="42"/>
      <c r="I1125" s="385"/>
      <c r="J1125" s="385"/>
      <c r="K1125" s="10"/>
    </row>
    <row r="1126" spans="1:24" s="165" customFormat="1" ht="24.75" customHeight="1">
      <c r="A1126" s="115" t="s">
        <v>19</v>
      </c>
      <c r="B1126" s="42">
        <f>C1126*1.33</f>
        <v>53.2</v>
      </c>
      <c r="C1126" s="16">
        <v>40</v>
      </c>
      <c r="D1126" s="16"/>
      <c r="E1126" s="50"/>
      <c r="F1126" s="50"/>
      <c r="G1126" s="50"/>
      <c r="H1126" s="42"/>
      <c r="I1126" s="385"/>
      <c r="J1126" s="385"/>
      <c r="K1126" s="136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</row>
    <row r="1127" spans="1:24" s="165" customFormat="1" ht="24.75" customHeight="1">
      <c r="A1127" s="115" t="s">
        <v>26</v>
      </c>
      <c r="B1127" s="42">
        <f>C1127*1.19</f>
        <v>15.469999999999999</v>
      </c>
      <c r="C1127" s="16">
        <v>13</v>
      </c>
      <c r="D1127" s="16"/>
      <c r="E1127" s="50"/>
      <c r="F1127" s="50"/>
      <c r="G1127" s="50"/>
      <c r="H1127" s="42"/>
      <c r="I1127" s="385"/>
      <c r="J1127" s="385"/>
      <c r="K1127" s="136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</row>
    <row r="1128" spans="1:24" ht="24.75" customHeight="1">
      <c r="A1128" s="461" t="s">
        <v>14</v>
      </c>
      <c r="B1128" s="461"/>
      <c r="C1128" s="461"/>
      <c r="D1128" s="151" t="s">
        <v>15</v>
      </c>
      <c r="E1128" s="145">
        <v>0.2</v>
      </c>
      <c r="F1128" s="145">
        <v>0</v>
      </c>
      <c r="G1128" s="145">
        <v>15.3</v>
      </c>
      <c r="H1128" s="152">
        <v>58</v>
      </c>
      <c r="I1128" s="306">
        <v>0.8</v>
      </c>
      <c r="J1128" s="306" t="s">
        <v>391</v>
      </c>
      <c r="K1128" s="10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</row>
    <row r="1129" spans="1:11" ht="24.75" customHeight="1">
      <c r="A1129" s="139" t="s">
        <v>16</v>
      </c>
      <c r="B1129" s="16">
        <v>0.4</v>
      </c>
      <c r="C1129" s="16">
        <v>0.4</v>
      </c>
      <c r="D1129" s="153"/>
      <c r="E1129" s="161"/>
      <c r="F1129" s="161"/>
      <c r="G1129" s="161"/>
      <c r="H1129" s="142"/>
      <c r="I1129" s="306"/>
      <c r="J1129" s="306"/>
      <c r="K1129" s="10"/>
    </row>
    <row r="1130" spans="1:11" ht="24.75" customHeight="1">
      <c r="A1130" s="184" t="s">
        <v>12</v>
      </c>
      <c r="B1130" s="153">
        <v>15</v>
      </c>
      <c r="C1130" s="153">
        <v>15</v>
      </c>
      <c r="D1130" s="153"/>
      <c r="E1130" s="161"/>
      <c r="F1130" s="161"/>
      <c r="G1130" s="161"/>
      <c r="H1130" s="142"/>
      <c r="I1130" s="306"/>
      <c r="J1130" s="306"/>
      <c r="K1130" s="61"/>
    </row>
    <row r="1131" spans="1:11" ht="24.75" customHeight="1">
      <c r="A1131" s="184" t="s">
        <v>17</v>
      </c>
      <c r="B1131" s="153">
        <v>6</v>
      </c>
      <c r="C1131" s="153">
        <v>5</v>
      </c>
      <c r="D1131" s="153"/>
      <c r="E1131" s="161"/>
      <c r="F1131" s="161"/>
      <c r="G1131" s="161"/>
      <c r="H1131" s="161"/>
      <c r="I1131" s="161"/>
      <c r="J1131" s="161"/>
      <c r="K1131" s="13"/>
    </row>
    <row r="1132" spans="1:11" ht="24.75" customHeight="1">
      <c r="A1132" s="461" t="s">
        <v>72</v>
      </c>
      <c r="B1132" s="461"/>
      <c r="C1132" s="461"/>
      <c r="D1132" s="151">
        <v>15</v>
      </c>
      <c r="E1132" s="145">
        <v>1.02</v>
      </c>
      <c r="F1132" s="145">
        <v>0.18</v>
      </c>
      <c r="G1132" s="145">
        <v>5.04</v>
      </c>
      <c r="H1132" s="152">
        <v>25.859999999999996</v>
      </c>
      <c r="I1132" s="306">
        <v>0</v>
      </c>
      <c r="J1132" s="306"/>
      <c r="K1132" s="14"/>
    </row>
    <row r="1133" spans="1:11" ht="24.75" customHeight="1">
      <c r="A1133" s="473" t="s">
        <v>258</v>
      </c>
      <c r="B1133" s="474"/>
      <c r="C1133" s="475"/>
      <c r="D1133" s="151">
        <v>15</v>
      </c>
      <c r="E1133" s="145">
        <v>1.23</v>
      </c>
      <c r="F1133" s="145">
        <v>0.21000000000000002</v>
      </c>
      <c r="G1133" s="145">
        <v>5.7</v>
      </c>
      <c r="H1133" s="152">
        <v>29.610000000000003</v>
      </c>
      <c r="I1133" s="306">
        <v>0</v>
      </c>
      <c r="J1133" s="306">
        <v>0.064</v>
      </c>
      <c r="K1133" s="61"/>
    </row>
    <row r="1134" spans="1:11" ht="24.75" customHeight="1">
      <c r="A1134" s="466" t="s">
        <v>232</v>
      </c>
      <c r="B1134" s="466"/>
      <c r="C1134" s="466"/>
      <c r="D1134" s="466"/>
      <c r="E1134" s="466"/>
      <c r="F1134" s="466"/>
      <c r="G1134" s="466"/>
      <c r="H1134" s="466"/>
      <c r="I1134" s="466"/>
      <c r="J1134" s="466"/>
      <c r="K1134" s="61"/>
    </row>
    <row r="1135" spans="1:11" ht="34.5" customHeight="1">
      <c r="A1135" s="468" t="s">
        <v>267</v>
      </c>
      <c r="B1135" s="468"/>
      <c r="C1135" s="468"/>
      <c r="D1135" s="41">
        <v>200</v>
      </c>
      <c r="E1135" s="52">
        <v>5.2</v>
      </c>
      <c r="F1135" s="79">
        <v>5</v>
      </c>
      <c r="G1135" s="52">
        <v>9.38</v>
      </c>
      <c r="H1135" s="120">
        <f>G1135*4+F1135*9+E1135*4</f>
        <v>103.32000000000001</v>
      </c>
      <c r="I1135" s="314">
        <v>1.04</v>
      </c>
      <c r="J1135" s="350" t="s">
        <v>370</v>
      </c>
      <c r="K1135" s="61"/>
    </row>
    <row r="1136" spans="1:11" ht="38.25" customHeight="1">
      <c r="A1136" s="182" t="s">
        <v>149</v>
      </c>
      <c r="B1136" s="112">
        <v>210</v>
      </c>
      <c r="C1136" s="112">
        <v>200</v>
      </c>
      <c r="D1136" s="112"/>
      <c r="E1136" s="140"/>
      <c r="F1136" s="140"/>
      <c r="G1136" s="140"/>
      <c r="H1136" s="94"/>
      <c r="I1136" s="316"/>
      <c r="J1136" s="317"/>
      <c r="K1136" s="61"/>
    </row>
    <row r="1137" spans="1:13" ht="24.75" customHeight="1" thickBot="1">
      <c r="A1137" s="368" t="s">
        <v>214</v>
      </c>
      <c r="B1137" s="112">
        <v>200</v>
      </c>
      <c r="C1137" s="112">
        <v>200</v>
      </c>
      <c r="D1137" s="112"/>
      <c r="E1137" s="140"/>
      <c r="F1137" s="140"/>
      <c r="G1137" s="140"/>
      <c r="H1137" s="94"/>
      <c r="I1137" s="316"/>
      <c r="J1137" s="317"/>
      <c r="K1137" s="14"/>
      <c r="L1137" s="167" t="s">
        <v>97</v>
      </c>
      <c r="M1137" s="133"/>
    </row>
    <row r="1138" spans="1:13" ht="24.75" customHeight="1">
      <c r="A1138" s="478" t="s">
        <v>141</v>
      </c>
      <c r="B1138" s="478"/>
      <c r="C1138" s="478"/>
      <c r="D1138" s="478"/>
      <c r="E1138" s="217">
        <f>E1112+E1108+E1069+E1048</f>
        <v>65.56</v>
      </c>
      <c r="F1138" s="217">
        <f>F1112+F1108+F1069+F1048</f>
        <v>70.50999999999999</v>
      </c>
      <c r="G1138" s="217">
        <f>G1112+G1108+G1069+G1048</f>
        <v>307.46</v>
      </c>
      <c r="H1138" s="217">
        <f>H1112+H1108+H1069+H1048</f>
        <v>2122.11</v>
      </c>
      <c r="I1138" s="217">
        <f>I1112+I1108+I1069+I1048</f>
        <v>65.32660714285714</v>
      </c>
      <c r="J1138" s="217"/>
      <c r="K1138" s="10"/>
      <c r="L1138" s="168" t="s">
        <v>72</v>
      </c>
      <c r="M1138" s="133">
        <f>D1219+D1256</f>
        <v>80</v>
      </c>
    </row>
    <row r="1139" spans="1:13" ht="24.75" customHeight="1">
      <c r="A1139" s="476" t="s">
        <v>32</v>
      </c>
      <c r="B1139" s="476"/>
      <c r="C1139" s="476"/>
      <c r="D1139" s="476"/>
      <c r="E1139" s="476"/>
      <c r="F1139" s="476"/>
      <c r="G1139" s="476"/>
      <c r="H1139" s="476"/>
      <c r="I1139" s="476"/>
      <c r="J1139" s="476"/>
      <c r="K1139" s="11"/>
      <c r="L1139" s="35" t="s">
        <v>82</v>
      </c>
      <c r="M1139" s="102">
        <f>C1155+D1218+D1257+B1241+B1244</f>
        <v>119</v>
      </c>
    </row>
    <row r="1140" spans="1:35" ht="24.75" customHeight="1">
      <c r="A1140" s="492" t="s">
        <v>97</v>
      </c>
      <c r="B1140" s="492"/>
      <c r="C1140" s="492"/>
      <c r="D1140" s="492"/>
      <c r="E1140" s="492"/>
      <c r="F1140" s="492"/>
      <c r="G1140" s="492"/>
      <c r="H1140" s="492"/>
      <c r="I1140" s="492"/>
      <c r="J1140" s="492"/>
      <c r="K1140" s="10"/>
      <c r="L1140" s="35" t="s">
        <v>83</v>
      </c>
      <c r="M1140" s="102">
        <f>B1222+B1213+B1200+B1204</f>
        <v>30.3</v>
      </c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</row>
    <row r="1141" spans="1:35" ht="24.75" customHeight="1">
      <c r="A1141" s="455" t="s">
        <v>2</v>
      </c>
      <c r="B1141" s="449" t="s">
        <v>3</v>
      </c>
      <c r="C1141" s="449" t="s">
        <v>4</v>
      </c>
      <c r="D1141" s="455" t="s">
        <v>5</v>
      </c>
      <c r="E1141" s="455"/>
      <c r="F1141" s="455"/>
      <c r="G1141" s="455"/>
      <c r="H1141" s="455"/>
      <c r="I1141" s="455"/>
      <c r="J1141" s="446" t="s">
        <v>311</v>
      </c>
      <c r="K1141" s="14"/>
      <c r="L1141" s="36" t="s">
        <v>126</v>
      </c>
      <c r="M1141" s="102">
        <f>B1223+B1146+B1147+B1181</f>
        <v>56</v>
      </c>
      <c r="N1141" s="165"/>
      <c r="O1141" s="165"/>
      <c r="P1141" s="165"/>
      <c r="Q1141" s="165"/>
      <c r="R1141" s="165"/>
      <c r="S1141" s="165"/>
      <c r="T1141" s="165"/>
      <c r="U1141" s="165"/>
      <c r="V1141" s="165"/>
      <c r="W1141" s="165"/>
      <c r="X1141" s="16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</row>
    <row r="1142" spans="1:12" ht="24.75" customHeight="1">
      <c r="A1142" s="455"/>
      <c r="B1142" s="449"/>
      <c r="C1142" s="449"/>
      <c r="D1142" s="449" t="s">
        <v>6</v>
      </c>
      <c r="E1142" s="467" t="s">
        <v>7</v>
      </c>
      <c r="F1142" s="467" t="s">
        <v>8</v>
      </c>
      <c r="G1142" s="467" t="s">
        <v>9</v>
      </c>
      <c r="H1142" s="453" t="s">
        <v>10</v>
      </c>
      <c r="I1142" s="444" t="s">
        <v>312</v>
      </c>
      <c r="J1142" s="447"/>
      <c r="K1142" s="14"/>
      <c r="L1142" s="39" t="s">
        <v>330</v>
      </c>
    </row>
    <row r="1143" spans="1:13" ht="24.75" customHeight="1">
      <c r="A1143" s="455"/>
      <c r="B1143" s="449"/>
      <c r="C1143" s="449"/>
      <c r="D1143" s="449"/>
      <c r="E1143" s="467"/>
      <c r="F1143" s="467"/>
      <c r="G1143" s="467"/>
      <c r="H1143" s="453"/>
      <c r="I1143" s="445"/>
      <c r="J1143" s="448"/>
      <c r="K1143" s="14"/>
      <c r="L1143" s="35" t="s">
        <v>138</v>
      </c>
      <c r="M1143" s="102">
        <f>B1168+B1247</f>
        <v>191.6223076923077</v>
      </c>
    </row>
    <row r="1144" spans="1:13" ht="24.75" customHeight="1">
      <c r="A1144" s="466" t="s">
        <v>11</v>
      </c>
      <c r="B1144" s="466"/>
      <c r="C1144" s="466"/>
      <c r="D1144" s="466"/>
      <c r="E1144" s="128">
        <f>E1145+E1154+E1158+E1162+E1164</f>
        <v>15.6</v>
      </c>
      <c r="F1144" s="128">
        <f>F1145+F1154+F1158+F1162+F1164</f>
        <v>22.299999999999997</v>
      </c>
      <c r="G1144" s="128">
        <f>G1145+G1154+G1158+G1162+G1164</f>
        <v>83.9</v>
      </c>
      <c r="H1144" s="116">
        <f>H1145+H1154+H1158+H1162+H1164</f>
        <v>598.7</v>
      </c>
      <c r="I1144" s="128">
        <f>I1145+I1154+I1158+I1162+I1164</f>
        <v>13.971818181818183</v>
      </c>
      <c r="J1144" s="128"/>
      <c r="K1144" s="14"/>
      <c r="L1144" s="35" t="s">
        <v>84</v>
      </c>
      <c r="M1144" s="102">
        <f>B1187+B1191+B1192+B1243+B1206+B1208+B1209+B1235+B1194+B1212</f>
        <v>340.71500000000003</v>
      </c>
    </row>
    <row r="1145" spans="1:13" ht="24.75" customHeight="1">
      <c r="A1145" s="468" t="s">
        <v>343</v>
      </c>
      <c r="B1145" s="468"/>
      <c r="C1145" s="468"/>
      <c r="D1145" s="41" t="s">
        <v>242</v>
      </c>
      <c r="E1145" s="145">
        <v>5.2</v>
      </c>
      <c r="F1145" s="145">
        <v>7.5</v>
      </c>
      <c r="G1145" s="145">
        <v>23.5</v>
      </c>
      <c r="H1145" s="152">
        <f>E1145*4+F1145*9+G1145*4</f>
        <v>182.3</v>
      </c>
      <c r="I1145" s="306">
        <v>0.6</v>
      </c>
      <c r="J1145" s="306" t="s">
        <v>348</v>
      </c>
      <c r="K1145" s="14"/>
      <c r="L1145" s="35" t="s">
        <v>85</v>
      </c>
      <c r="M1145" s="102">
        <f>D1164</f>
        <v>180</v>
      </c>
    </row>
    <row r="1146" spans="1:13" ht="24.75" customHeight="1">
      <c r="A1146" s="115" t="s">
        <v>344</v>
      </c>
      <c r="B1146" s="16">
        <v>22</v>
      </c>
      <c r="C1146" s="16">
        <v>22</v>
      </c>
      <c r="D1146" s="95"/>
      <c r="E1146" s="44"/>
      <c r="F1146" s="44"/>
      <c r="G1146" s="44"/>
      <c r="H1146" s="45"/>
      <c r="I1146" s="307"/>
      <c r="J1146" s="306"/>
      <c r="K1146" s="14"/>
      <c r="L1146" s="35" t="s">
        <v>127</v>
      </c>
      <c r="M1146" s="102">
        <f>D1231</f>
        <v>200</v>
      </c>
    </row>
    <row r="1147" spans="1:13" ht="24.75" customHeight="1">
      <c r="A1147" s="115" t="s">
        <v>34</v>
      </c>
      <c r="B1147" s="16">
        <v>4</v>
      </c>
      <c r="C1147" s="16">
        <v>4</v>
      </c>
      <c r="D1147" s="95"/>
      <c r="E1147" s="44"/>
      <c r="F1147" s="44"/>
      <c r="G1147" s="44"/>
      <c r="H1147" s="45"/>
      <c r="I1147" s="307"/>
      <c r="J1147" s="306"/>
      <c r="K1147" s="14"/>
      <c r="L1147" s="35" t="s">
        <v>86</v>
      </c>
      <c r="M1147" s="102">
        <f>B1216</f>
        <v>20</v>
      </c>
    </row>
    <row r="1148" spans="1:13" ht="24.75" customHeight="1">
      <c r="A1148" s="182" t="s">
        <v>149</v>
      </c>
      <c r="B1148" s="178">
        <v>116</v>
      </c>
      <c r="C1148" s="178">
        <v>116</v>
      </c>
      <c r="D1148" s="95"/>
      <c r="E1148" s="95"/>
      <c r="F1148" s="95"/>
      <c r="G1148" s="95"/>
      <c r="H1148" s="97"/>
      <c r="I1148" s="313"/>
      <c r="J1148" s="306"/>
      <c r="K1148" s="14"/>
      <c r="L1148" s="35" t="s">
        <v>87</v>
      </c>
      <c r="M1148" s="102">
        <f>B1150+B1161++B1217+B1224+B1229+B1255</f>
        <v>57</v>
      </c>
    </row>
    <row r="1149" spans="1:12" ht="24.75" customHeight="1">
      <c r="A1149" s="139" t="s">
        <v>110</v>
      </c>
      <c r="B1149" s="153">
        <v>78</v>
      </c>
      <c r="C1149" s="153">
        <v>78</v>
      </c>
      <c r="D1149" s="153"/>
      <c r="E1149" s="153"/>
      <c r="F1149" s="153"/>
      <c r="G1149" s="153"/>
      <c r="H1149" s="142"/>
      <c r="I1149" s="306"/>
      <c r="J1149" s="306"/>
      <c r="K1149" s="14"/>
      <c r="L1149" s="240" t="s">
        <v>207</v>
      </c>
    </row>
    <row r="1150" spans="1:13" ht="24.75" customHeight="1">
      <c r="A1150" s="139" t="s">
        <v>161</v>
      </c>
      <c r="B1150" s="187">
        <v>4</v>
      </c>
      <c r="C1150" s="187">
        <v>4</v>
      </c>
      <c r="D1150" s="151"/>
      <c r="E1150" s="151"/>
      <c r="F1150" s="188"/>
      <c r="G1150" s="188"/>
      <c r="H1150" s="187"/>
      <c r="I1150" s="317"/>
      <c r="J1150" s="317"/>
      <c r="K1150" s="14"/>
      <c r="L1150" s="35" t="s">
        <v>128</v>
      </c>
      <c r="M1150" s="102">
        <f>B1159</f>
        <v>2.5</v>
      </c>
    </row>
    <row r="1151" spans="1:13" ht="24.75" customHeight="1">
      <c r="A1151" s="139" t="s">
        <v>96</v>
      </c>
      <c r="B1151" s="349">
        <v>0.04</v>
      </c>
      <c r="C1151" s="349">
        <v>0.04</v>
      </c>
      <c r="D1151" s="95"/>
      <c r="E1151" s="95"/>
      <c r="F1151" s="200"/>
      <c r="G1151" s="200"/>
      <c r="H1151" s="201"/>
      <c r="I1151" s="309"/>
      <c r="J1151" s="317"/>
      <c r="K1151" s="14"/>
      <c r="L1151" s="35" t="s">
        <v>88</v>
      </c>
      <c r="M1151" s="102">
        <f>B1254</f>
        <v>0.4</v>
      </c>
    </row>
    <row r="1152" spans="1:13" ht="24.75" customHeight="1">
      <c r="A1152" s="190" t="s">
        <v>150</v>
      </c>
      <c r="B1152" s="200">
        <v>2.4</v>
      </c>
      <c r="C1152" s="200">
        <v>2.4</v>
      </c>
      <c r="D1152" s="95"/>
      <c r="E1152" s="95"/>
      <c r="F1152" s="200"/>
      <c r="G1152" s="200"/>
      <c r="H1152" s="201"/>
      <c r="I1152" s="309"/>
      <c r="J1152" s="317"/>
      <c r="K1152" s="10"/>
      <c r="L1152" s="35" t="s">
        <v>137</v>
      </c>
      <c r="M1152" s="102">
        <f>B1240+B1180</f>
        <v>91.88</v>
      </c>
    </row>
    <row r="1153" spans="1:12" ht="24.75" customHeight="1">
      <c r="A1153" s="202" t="s">
        <v>27</v>
      </c>
      <c r="B1153" s="199">
        <v>5</v>
      </c>
      <c r="C1153" s="199">
        <v>5</v>
      </c>
      <c r="D1153" s="199"/>
      <c r="E1153" s="200"/>
      <c r="F1153" s="200"/>
      <c r="G1153" s="200"/>
      <c r="H1153" s="201"/>
      <c r="I1153" s="309"/>
      <c r="J1153" s="317"/>
      <c r="K1153" s="10"/>
      <c r="L1153" s="240" t="s">
        <v>208</v>
      </c>
    </row>
    <row r="1154" spans="1:24" s="165" customFormat="1" ht="24.75" customHeight="1">
      <c r="A1154" s="468" t="s">
        <v>180</v>
      </c>
      <c r="B1154" s="468"/>
      <c r="C1154" s="468"/>
      <c r="D1154" s="80" t="s">
        <v>210</v>
      </c>
      <c r="E1154" s="145">
        <v>3.7</v>
      </c>
      <c r="F1154" s="145">
        <v>6.5</v>
      </c>
      <c r="G1154" s="145">
        <v>10.5</v>
      </c>
      <c r="H1154" s="152">
        <f>E1154*4+F1154*9+G1154*4</f>
        <v>115.3</v>
      </c>
      <c r="I1154" s="306">
        <v>0.10181818181818182</v>
      </c>
      <c r="J1154" s="306" t="s">
        <v>352</v>
      </c>
      <c r="K1154" s="136"/>
      <c r="L1154" s="35" t="s">
        <v>89</v>
      </c>
      <c r="M1154" s="102">
        <f>B1196</f>
        <v>155</v>
      </c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</row>
    <row r="1155" spans="1:13" ht="24.75" customHeight="1">
      <c r="A1155" s="115" t="s">
        <v>356</v>
      </c>
      <c r="B1155" s="16">
        <v>20</v>
      </c>
      <c r="C1155" s="16">
        <v>20</v>
      </c>
      <c r="D1155" s="16"/>
      <c r="E1155" s="145"/>
      <c r="F1155" s="145"/>
      <c r="G1155" s="145"/>
      <c r="H1155" s="152"/>
      <c r="I1155" s="306"/>
      <c r="J1155" s="306"/>
      <c r="K1155" s="81"/>
      <c r="L1155" s="35" t="s">
        <v>130</v>
      </c>
      <c r="M1155" s="102"/>
    </row>
    <row r="1156" spans="1:13" ht="24.75" customHeight="1">
      <c r="A1156" s="115" t="s">
        <v>183</v>
      </c>
      <c r="B1156" s="93">
        <v>16</v>
      </c>
      <c r="C1156" s="93">
        <v>15</v>
      </c>
      <c r="D1156" s="92"/>
      <c r="E1156" s="119"/>
      <c r="F1156" s="119"/>
      <c r="G1156" s="119"/>
      <c r="H1156" s="124"/>
      <c r="I1156" s="306"/>
      <c r="J1156" s="306"/>
      <c r="K1156" s="81"/>
      <c r="L1156" s="36" t="s">
        <v>131</v>
      </c>
      <c r="M1156" s="102">
        <f>B1251+B1160+B1148+B1242</f>
        <v>286</v>
      </c>
    </row>
    <row r="1157" spans="1:13" ht="24.75" customHeight="1">
      <c r="A1157" s="115" t="s">
        <v>27</v>
      </c>
      <c r="B1157" s="16">
        <v>5</v>
      </c>
      <c r="C1157" s="16">
        <v>5</v>
      </c>
      <c r="D1157" s="16"/>
      <c r="E1157" s="50"/>
      <c r="F1157" s="50"/>
      <c r="G1157" s="50"/>
      <c r="H1157" s="42"/>
      <c r="I1157" s="307"/>
      <c r="J1157" s="306"/>
      <c r="K1157" s="81"/>
      <c r="L1157" s="39" t="s">
        <v>331</v>
      </c>
      <c r="M1157" s="106">
        <f>B1259</f>
        <v>154</v>
      </c>
    </row>
    <row r="1158" spans="1:13" ht="24.75" customHeight="1">
      <c r="A1158" s="468" t="s">
        <v>182</v>
      </c>
      <c r="B1158" s="468"/>
      <c r="C1158" s="468"/>
      <c r="D1158" s="41">
        <v>200</v>
      </c>
      <c r="E1158" s="145">
        <v>3.1</v>
      </c>
      <c r="F1158" s="145">
        <v>2.9</v>
      </c>
      <c r="G1158" s="145">
        <v>21.4</v>
      </c>
      <c r="H1158" s="152">
        <f>E1158*4+F1158*9+G1158*4</f>
        <v>124.1</v>
      </c>
      <c r="I1158" s="306">
        <v>0.78</v>
      </c>
      <c r="J1158" s="306" t="s">
        <v>365</v>
      </c>
      <c r="K1158" s="14"/>
      <c r="L1158" s="35" t="s">
        <v>90</v>
      </c>
      <c r="M1158" s="102">
        <f>B1162</f>
        <v>100</v>
      </c>
    </row>
    <row r="1159" spans="1:13" ht="24.75" customHeight="1">
      <c r="A1159" s="115" t="s">
        <v>104</v>
      </c>
      <c r="B1159" s="16">
        <v>2.5</v>
      </c>
      <c r="C1159" s="16">
        <v>2.5</v>
      </c>
      <c r="D1159" s="16"/>
      <c r="E1159" s="50"/>
      <c r="F1159" s="50"/>
      <c r="G1159" s="50"/>
      <c r="H1159" s="42"/>
      <c r="I1159" s="307"/>
      <c r="J1159" s="306"/>
      <c r="K1159" s="14"/>
      <c r="L1159" s="35" t="s">
        <v>91</v>
      </c>
      <c r="M1159" s="102">
        <f>B1226+B1211</f>
        <v>26</v>
      </c>
    </row>
    <row r="1160" spans="1:13" ht="38.25" customHeight="1">
      <c r="A1160" s="184" t="s">
        <v>149</v>
      </c>
      <c r="B1160" s="153">
        <v>130</v>
      </c>
      <c r="C1160" s="153">
        <v>130</v>
      </c>
      <c r="D1160" s="153"/>
      <c r="E1160" s="161"/>
      <c r="F1160" s="161"/>
      <c r="G1160" s="161"/>
      <c r="H1160" s="142"/>
      <c r="I1160" s="306"/>
      <c r="J1160" s="306"/>
      <c r="K1160" s="14"/>
      <c r="L1160" s="35" t="s">
        <v>134</v>
      </c>
      <c r="M1160" s="102">
        <f>B1156</f>
        <v>16</v>
      </c>
    </row>
    <row r="1161" spans="1:13" ht="24.75" customHeight="1">
      <c r="A1161" s="184" t="s">
        <v>12</v>
      </c>
      <c r="B1161" s="153">
        <v>15</v>
      </c>
      <c r="C1161" s="153">
        <v>15</v>
      </c>
      <c r="D1161" s="153"/>
      <c r="E1161" s="161"/>
      <c r="F1161" s="161"/>
      <c r="G1161" s="161"/>
      <c r="H1161" s="142"/>
      <c r="I1161" s="306"/>
      <c r="J1161" s="306"/>
      <c r="K1161" s="14"/>
      <c r="L1161" s="35" t="s">
        <v>92</v>
      </c>
      <c r="M1161" s="102">
        <f>B1193+B1210++B1225+B1252+B1153+B1157</f>
        <v>30</v>
      </c>
    </row>
    <row r="1162" spans="1:13" ht="98.25" customHeight="1">
      <c r="A1162" s="408" t="s">
        <v>536</v>
      </c>
      <c r="B1162" s="112">
        <v>100</v>
      </c>
      <c r="C1162" s="112">
        <v>100</v>
      </c>
      <c r="D1162" s="43">
        <v>100</v>
      </c>
      <c r="E1162" s="54">
        <v>3.2</v>
      </c>
      <c r="F1162" s="54">
        <v>5.4</v>
      </c>
      <c r="G1162" s="54">
        <v>10.5</v>
      </c>
      <c r="H1162" s="45">
        <f>E1162*4+F1162*9+G1162*4</f>
        <v>103.4</v>
      </c>
      <c r="I1162" s="307">
        <v>0.49</v>
      </c>
      <c r="J1162" s="306"/>
      <c r="K1162" s="14"/>
      <c r="L1162" s="35" t="s">
        <v>65</v>
      </c>
      <c r="M1162" s="102" t="e">
        <f>+B1245+B1199+#REF!+B1230</f>
        <v>#REF!</v>
      </c>
    </row>
    <row r="1163" spans="1:13" ht="24.75" customHeight="1" thickBot="1">
      <c r="A1163" s="477" t="s">
        <v>151</v>
      </c>
      <c r="B1163" s="477"/>
      <c r="C1163" s="477"/>
      <c r="D1163" s="477"/>
      <c r="E1163" s="477"/>
      <c r="F1163" s="477"/>
      <c r="G1163" s="477"/>
      <c r="H1163" s="477"/>
      <c r="I1163" s="477"/>
      <c r="J1163" s="477"/>
      <c r="K1163" s="14"/>
      <c r="L1163" s="37" t="s">
        <v>93</v>
      </c>
      <c r="M1163" s="102">
        <f>B1227+B1202</f>
        <v>24.8</v>
      </c>
    </row>
    <row r="1164" spans="1:12" ht="54.75" customHeight="1">
      <c r="A1164" s="472" t="s">
        <v>345</v>
      </c>
      <c r="B1164" s="472"/>
      <c r="C1164" s="472"/>
      <c r="D1164" s="143">
        <v>180</v>
      </c>
      <c r="E1164" s="145">
        <v>0.4</v>
      </c>
      <c r="F1164" s="144">
        <v>0</v>
      </c>
      <c r="G1164" s="145">
        <v>18</v>
      </c>
      <c r="H1164" s="152">
        <f>E1164*4+F1164*9+G1164*4</f>
        <v>73.6</v>
      </c>
      <c r="I1164" s="306">
        <v>12</v>
      </c>
      <c r="J1164" s="306"/>
      <c r="K1164" s="14"/>
      <c r="L1164" s="241" t="s">
        <v>209</v>
      </c>
    </row>
    <row r="1165" spans="1:12" ht="24.75" customHeight="1">
      <c r="A1165" s="368"/>
      <c r="B1165" s="368"/>
      <c r="C1165" s="368"/>
      <c r="D1165" s="143"/>
      <c r="E1165" s="145"/>
      <c r="F1165" s="144"/>
      <c r="G1165" s="145"/>
      <c r="H1165" s="152"/>
      <c r="I1165" s="306"/>
      <c r="J1165" s="306"/>
      <c r="K1165" s="14"/>
      <c r="L1165" s="39" t="s">
        <v>219</v>
      </c>
    </row>
    <row r="1166" spans="1:11" ht="24.75" customHeight="1">
      <c r="A1166" s="466" t="s">
        <v>18</v>
      </c>
      <c r="B1166" s="466"/>
      <c r="C1166" s="466"/>
      <c r="D1166" s="466"/>
      <c r="E1166" s="128">
        <f>E1167+E1178+E1195+E1205+E1215+E1218+E1219</f>
        <v>28.697499999999998</v>
      </c>
      <c r="F1166" s="128">
        <f>F1167+F1178+F1195+F1205+F1215+F1218+F1219</f>
        <v>27.12</v>
      </c>
      <c r="G1166" s="128">
        <f>G1167+G1178+G1195+G1205+G1215+G1218+G1219</f>
        <v>101.565</v>
      </c>
      <c r="H1166" s="116">
        <f>H1167+H1178+H1195+H1205+H1215+H1218+H1219</f>
        <v>764.4300000000001</v>
      </c>
      <c r="I1166" s="128">
        <f>I1167+I1178+I1195+I1205+I1215+I1218+I1219</f>
        <v>116.545</v>
      </c>
      <c r="J1166" s="159"/>
      <c r="K1166" s="14"/>
    </row>
    <row r="1167" spans="1:11" ht="24.75" customHeight="1">
      <c r="A1167" s="46" t="s">
        <v>578</v>
      </c>
      <c r="B1167" s="42"/>
      <c r="C1167" s="16"/>
      <c r="D1167" s="41">
        <v>70</v>
      </c>
      <c r="E1167" s="44">
        <v>1.8375</v>
      </c>
      <c r="F1167" s="44">
        <v>4</v>
      </c>
      <c r="G1167" s="44">
        <v>8.925</v>
      </c>
      <c r="H1167" s="45">
        <f>E1167*4+F1167*9+G1167*4</f>
        <v>79.05000000000001</v>
      </c>
      <c r="I1167" s="307">
        <v>6.825</v>
      </c>
      <c r="J1167" s="362" t="s">
        <v>517</v>
      </c>
      <c r="K1167" s="14"/>
    </row>
    <row r="1168" spans="1:11" ht="24.75" customHeight="1">
      <c r="A1168" s="123" t="s">
        <v>21</v>
      </c>
      <c r="B1168" s="94">
        <f>C1168*1.33</f>
        <v>21.28</v>
      </c>
      <c r="C1168" s="16">
        <v>16</v>
      </c>
      <c r="D1168" s="183"/>
      <c r="E1168" s="151"/>
      <c r="F1168" s="145"/>
      <c r="G1168" s="145"/>
      <c r="H1168" s="152"/>
      <c r="I1168" s="306"/>
      <c r="J1168" s="306"/>
      <c r="K1168" s="14"/>
    </row>
    <row r="1169" spans="1:11" ht="24.75" customHeight="1">
      <c r="A1169" s="123" t="s">
        <v>22</v>
      </c>
      <c r="B1169" s="94">
        <f>C1169*1.43</f>
        <v>22.88</v>
      </c>
      <c r="C1169" s="16">
        <v>16</v>
      </c>
      <c r="D1169" s="45"/>
      <c r="E1169" s="151"/>
      <c r="F1169" s="145"/>
      <c r="G1169" s="145"/>
      <c r="H1169" s="152"/>
      <c r="I1169" s="306"/>
      <c r="J1169" s="306"/>
      <c r="K1169" s="14"/>
    </row>
    <row r="1170" spans="1:11" ht="18" customHeight="1">
      <c r="A1170" s="123" t="s">
        <v>23</v>
      </c>
      <c r="B1170" s="94">
        <f>C1170*1.54</f>
        <v>24.64</v>
      </c>
      <c r="C1170" s="16">
        <v>16</v>
      </c>
      <c r="D1170" s="45"/>
      <c r="E1170" s="151"/>
      <c r="F1170" s="145"/>
      <c r="G1170" s="145"/>
      <c r="H1170" s="152"/>
      <c r="I1170" s="306"/>
      <c r="J1170" s="306"/>
      <c r="K1170" s="14"/>
    </row>
    <row r="1171" spans="1:11" ht="18.75" customHeight="1">
      <c r="A1171" s="123" t="s">
        <v>24</v>
      </c>
      <c r="B1171" s="94">
        <f>C1171*1.67</f>
        <v>26.72</v>
      </c>
      <c r="C1171" s="16">
        <v>16</v>
      </c>
      <c r="D1171" s="45"/>
      <c r="E1171" s="151"/>
      <c r="F1171" s="145"/>
      <c r="G1171" s="145"/>
      <c r="H1171" s="152"/>
      <c r="I1171" s="306"/>
      <c r="J1171" s="306"/>
      <c r="K1171" s="14"/>
    </row>
    <row r="1172" spans="1:11" ht="24.75" customHeight="1">
      <c r="A1172" s="139" t="s">
        <v>25</v>
      </c>
      <c r="B1172" s="142">
        <f>C1172*1.25</f>
        <v>20</v>
      </c>
      <c r="C1172" s="16">
        <v>16</v>
      </c>
      <c r="D1172" s="45"/>
      <c r="E1172" s="151"/>
      <c r="F1172" s="145"/>
      <c r="G1172" s="145"/>
      <c r="H1172" s="152"/>
      <c r="I1172" s="306"/>
      <c r="J1172" s="306"/>
      <c r="K1172" s="14"/>
    </row>
    <row r="1173" spans="1:11" ht="24.75" customHeight="1">
      <c r="A1173" s="139" t="s">
        <v>19</v>
      </c>
      <c r="B1173" s="142">
        <f>C1173*1.33</f>
        <v>21.28</v>
      </c>
      <c r="C1173" s="16">
        <v>16</v>
      </c>
      <c r="D1173" s="45"/>
      <c r="E1173" s="41"/>
      <c r="F1173" s="41"/>
      <c r="G1173" s="41"/>
      <c r="H1173" s="45"/>
      <c r="I1173" s="307"/>
      <c r="J1173" s="306"/>
      <c r="K1173" s="14"/>
    </row>
    <row r="1174" spans="1:11" ht="18" customHeight="1">
      <c r="A1174" s="139" t="s">
        <v>26</v>
      </c>
      <c r="B1174" s="142">
        <f>C1174*1.19</f>
        <v>9.52</v>
      </c>
      <c r="C1174" s="142">
        <v>8</v>
      </c>
      <c r="D1174" s="45"/>
      <c r="E1174" s="41"/>
      <c r="F1174" s="44"/>
      <c r="G1174" s="44"/>
      <c r="H1174" s="45"/>
      <c r="I1174" s="307"/>
      <c r="J1174" s="306"/>
      <c r="K1174" s="14"/>
    </row>
    <row r="1175" spans="1:11" ht="17.25" customHeight="1">
      <c r="A1175" s="343" t="s">
        <v>579</v>
      </c>
      <c r="B1175" s="94">
        <v>19</v>
      </c>
      <c r="C1175" s="16">
        <v>12</v>
      </c>
      <c r="D1175" s="45"/>
      <c r="E1175" s="45"/>
      <c r="F1175" s="44"/>
      <c r="G1175" s="44"/>
      <c r="H1175" s="45"/>
      <c r="I1175" s="307"/>
      <c r="J1175" s="306"/>
      <c r="K1175" s="14"/>
    </row>
    <row r="1176" spans="1:11" ht="24.75" customHeight="1">
      <c r="A1176" s="172" t="s">
        <v>473</v>
      </c>
      <c r="B1176" s="42">
        <f>C1176*1.54</f>
        <v>24.64</v>
      </c>
      <c r="C1176" s="16">
        <v>16</v>
      </c>
      <c r="D1176" s="45"/>
      <c r="E1176" s="45"/>
      <c r="F1176" s="44"/>
      <c r="G1176" s="44"/>
      <c r="H1176" s="45"/>
      <c r="I1176" s="307"/>
      <c r="J1176" s="306"/>
      <c r="K1176" s="14"/>
    </row>
    <row r="1177" spans="1:11" ht="18.75" customHeight="1">
      <c r="A1177" s="115" t="s">
        <v>20</v>
      </c>
      <c r="B1177" s="42">
        <v>5</v>
      </c>
      <c r="C1177" s="16">
        <v>5</v>
      </c>
      <c r="D1177" s="45"/>
      <c r="E1177" s="45"/>
      <c r="F1177" s="44"/>
      <c r="G1177" s="44"/>
      <c r="H1177" s="45"/>
      <c r="I1177" s="307"/>
      <c r="J1177" s="306"/>
      <c r="K1177" s="14"/>
    </row>
    <row r="1178" spans="1:11" ht="24.75" customHeight="1">
      <c r="A1178" s="501" t="s">
        <v>515</v>
      </c>
      <c r="B1178" s="501"/>
      <c r="C1178" s="501"/>
      <c r="D1178" s="51" t="s">
        <v>478</v>
      </c>
      <c r="E1178" s="144">
        <v>5</v>
      </c>
      <c r="F1178" s="144">
        <v>5.5</v>
      </c>
      <c r="G1178" s="144">
        <v>10.5</v>
      </c>
      <c r="H1178" s="152">
        <f>E1178*4+F1178*9+G1178*4</f>
        <v>111.5</v>
      </c>
      <c r="I1178" s="306">
        <v>4.5</v>
      </c>
      <c r="J1178" s="306" t="s">
        <v>516</v>
      </c>
      <c r="K1178" s="14"/>
    </row>
    <row r="1179" spans="1:11" ht="24.75" customHeight="1">
      <c r="A1179" s="195" t="s">
        <v>62</v>
      </c>
      <c r="B1179" s="196">
        <f>C1179*1.36</f>
        <v>21.76</v>
      </c>
      <c r="C1179" s="153">
        <v>16</v>
      </c>
      <c r="D1179" s="151"/>
      <c r="E1179" s="151"/>
      <c r="F1179" s="145"/>
      <c r="G1179" s="145"/>
      <c r="H1179" s="152"/>
      <c r="I1179" s="306"/>
      <c r="J1179" s="306"/>
      <c r="K1179" s="14"/>
    </row>
    <row r="1180" spans="1:11" ht="18" customHeight="1">
      <c r="A1180" s="117" t="s">
        <v>74</v>
      </c>
      <c r="B1180" s="218">
        <f>C1180*1.18</f>
        <v>18.88</v>
      </c>
      <c r="C1180" s="153">
        <v>16</v>
      </c>
      <c r="D1180" s="151"/>
      <c r="E1180" s="145"/>
      <c r="F1180" s="145"/>
      <c r="G1180" s="145"/>
      <c r="H1180" s="145"/>
      <c r="I1180" s="145"/>
      <c r="J1180" s="306"/>
      <c r="K1180" s="14"/>
    </row>
    <row r="1181" spans="1:11" ht="15" customHeight="1">
      <c r="A1181" s="139" t="s">
        <v>513</v>
      </c>
      <c r="B1181" s="410">
        <v>10</v>
      </c>
      <c r="C1181" s="153">
        <v>10</v>
      </c>
      <c r="D1181" s="145"/>
      <c r="E1181" s="145"/>
      <c r="F1181" s="145"/>
      <c r="G1181" s="145"/>
      <c r="H1181" s="152"/>
      <c r="I1181" s="306"/>
      <c r="J1181" s="306"/>
      <c r="K1181" s="14"/>
    </row>
    <row r="1182" spans="1:11" ht="19.5" customHeight="1">
      <c r="A1182" s="139" t="s">
        <v>514</v>
      </c>
      <c r="B1182" s="410">
        <v>12</v>
      </c>
      <c r="C1182" s="153">
        <v>12</v>
      </c>
      <c r="D1182" s="145"/>
      <c r="E1182" s="145"/>
      <c r="F1182" s="145"/>
      <c r="G1182" s="145"/>
      <c r="H1182" s="152"/>
      <c r="I1182" s="306"/>
      <c r="J1182" s="306"/>
      <c r="K1182" s="14"/>
    </row>
    <row r="1183" spans="1:11" ht="24.75" customHeight="1">
      <c r="A1183" s="184" t="s">
        <v>21</v>
      </c>
      <c r="B1183" s="187">
        <f>C1183*1.33</f>
        <v>51.870000000000005</v>
      </c>
      <c r="C1183" s="162">
        <v>39</v>
      </c>
      <c r="D1183" s="145"/>
      <c r="E1183" s="145"/>
      <c r="F1183" s="145"/>
      <c r="G1183" s="145"/>
      <c r="H1183" s="152"/>
      <c r="I1183" s="306"/>
      <c r="J1183" s="306"/>
      <c r="K1183" s="14"/>
    </row>
    <row r="1184" spans="1:11" ht="20.25" customHeight="1">
      <c r="A1184" s="123" t="s">
        <v>22</v>
      </c>
      <c r="B1184" s="94">
        <f>C1184*1.43</f>
        <v>55.769999999999996</v>
      </c>
      <c r="C1184" s="162">
        <v>39</v>
      </c>
      <c r="D1184" s="145"/>
      <c r="E1184" s="145"/>
      <c r="F1184" s="145"/>
      <c r="G1184" s="145"/>
      <c r="H1184" s="152"/>
      <c r="I1184" s="306"/>
      <c r="J1184" s="306"/>
      <c r="K1184" s="14"/>
    </row>
    <row r="1185" spans="1:11" ht="24.75" customHeight="1">
      <c r="A1185" s="123" t="s">
        <v>23</v>
      </c>
      <c r="B1185" s="94">
        <f>C1185*1.54</f>
        <v>60.06</v>
      </c>
      <c r="C1185" s="162">
        <v>39</v>
      </c>
      <c r="D1185" s="145"/>
      <c r="E1185" s="145"/>
      <c r="F1185" s="145"/>
      <c r="G1185" s="145"/>
      <c r="H1185" s="152"/>
      <c r="I1185" s="306"/>
      <c r="J1185" s="306"/>
      <c r="K1185" s="14"/>
    </row>
    <row r="1186" spans="1:11" ht="21" customHeight="1">
      <c r="A1186" s="123" t="s">
        <v>24</v>
      </c>
      <c r="B1186" s="94">
        <f>C1186*1.67</f>
        <v>65.13</v>
      </c>
      <c r="C1186" s="162">
        <v>39</v>
      </c>
      <c r="D1186" s="145"/>
      <c r="E1186" s="145"/>
      <c r="F1186" s="145"/>
      <c r="G1186" s="145"/>
      <c r="H1186" s="152"/>
      <c r="I1186" s="306"/>
      <c r="J1186" s="306"/>
      <c r="K1186" s="14"/>
    </row>
    <row r="1187" spans="1:11" ht="24.75" customHeight="1">
      <c r="A1187" s="171" t="s">
        <v>215</v>
      </c>
      <c r="B1187" s="410">
        <v>2</v>
      </c>
      <c r="C1187" s="153">
        <v>2</v>
      </c>
      <c r="D1187" s="145"/>
      <c r="E1187" s="145"/>
      <c r="F1187" s="145"/>
      <c r="G1187" s="145"/>
      <c r="H1187" s="152"/>
      <c r="I1187" s="306"/>
      <c r="J1187" s="306"/>
      <c r="K1187" s="1"/>
    </row>
    <row r="1188" spans="1:11" ht="18.75" customHeight="1">
      <c r="A1188" s="343" t="s">
        <v>222</v>
      </c>
      <c r="B1188" s="140">
        <f>C1188*1.02</f>
        <v>5.1</v>
      </c>
      <c r="C1188" s="94">
        <v>5</v>
      </c>
      <c r="D1188" s="145"/>
      <c r="E1188" s="140"/>
      <c r="F1188" s="140"/>
      <c r="G1188" s="140"/>
      <c r="H1188" s="94"/>
      <c r="I1188" s="316"/>
      <c r="J1188" s="317"/>
      <c r="K1188" s="1"/>
    </row>
    <row r="1189" spans="1:11" ht="21.75" customHeight="1">
      <c r="A1189" s="123" t="s">
        <v>227</v>
      </c>
      <c r="B1189" s="140">
        <f>C1189*1.18</f>
        <v>5.8999999999999995</v>
      </c>
      <c r="C1189" s="94">
        <v>5</v>
      </c>
      <c r="D1189" s="145"/>
      <c r="E1189" s="140"/>
      <c r="F1189" s="140"/>
      <c r="G1189" s="140"/>
      <c r="H1189" s="94"/>
      <c r="I1189" s="316"/>
      <c r="J1189" s="317"/>
      <c r="K1189" s="1"/>
    </row>
    <row r="1190" spans="1:11" ht="18.75" customHeight="1">
      <c r="A1190" s="123" t="s">
        <v>25</v>
      </c>
      <c r="B1190" s="94">
        <f>C1190*1.25</f>
        <v>6.25</v>
      </c>
      <c r="C1190" s="94">
        <v>5</v>
      </c>
      <c r="D1190" s="145"/>
      <c r="E1190" s="140"/>
      <c r="F1190" s="140"/>
      <c r="G1190" s="140"/>
      <c r="H1190" s="94"/>
      <c r="I1190" s="316"/>
      <c r="J1190" s="317"/>
      <c r="K1190" s="1"/>
    </row>
    <row r="1191" spans="1:11" ht="18.75" customHeight="1">
      <c r="A1191" s="123" t="s">
        <v>19</v>
      </c>
      <c r="B1191" s="94">
        <f>C1191*1.33</f>
        <v>6.65</v>
      </c>
      <c r="C1191" s="94">
        <v>5</v>
      </c>
      <c r="D1191" s="145"/>
      <c r="E1191" s="140"/>
      <c r="F1191" s="140"/>
      <c r="G1191" s="140"/>
      <c r="H1191" s="94"/>
      <c r="I1191" s="316"/>
      <c r="J1191" s="317"/>
      <c r="K1191" s="1"/>
    </row>
    <row r="1192" spans="1:11" ht="18.75" customHeight="1">
      <c r="A1192" s="123" t="s">
        <v>26</v>
      </c>
      <c r="B1192" s="94">
        <f>C1192*1.19</f>
        <v>9.52</v>
      </c>
      <c r="C1192" s="94">
        <v>8</v>
      </c>
      <c r="D1192" s="145"/>
      <c r="E1192" s="140"/>
      <c r="F1192" s="140"/>
      <c r="G1192" s="140"/>
      <c r="H1192" s="94"/>
      <c r="I1192" s="316"/>
      <c r="J1192" s="317"/>
      <c r="K1192" s="1"/>
    </row>
    <row r="1193" spans="1:11" ht="16.5" customHeight="1">
      <c r="A1193" s="123" t="s">
        <v>27</v>
      </c>
      <c r="B1193" s="94">
        <v>6</v>
      </c>
      <c r="C1193" s="94">
        <v>6.25</v>
      </c>
      <c r="D1193" s="112"/>
      <c r="E1193" s="140"/>
      <c r="F1193" s="140"/>
      <c r="G1193" s="140"/>
      <c r="H1193" s="94"/>
      <c r="I1193" s="316"/>
      <c r="J1193" s="317"/>
      <c r="K1193" s="1"/>
    </row>
    <row r="1194" spans="1:11" ht="20.25" customHeight="1">
      <c r="A1194" s="123" t="s">
        <v>70</v>
      </c>
      <c r="B1194" s="94">
        <v>1</v>
      </c>
      <c r="C1194" s="112">
        <v>1</v>
      </c>
      <c r="D1194" s="16"/>
      <c r="E1194" s="50"/>
      <c r="F1194" s="50"/>
      <c r="G1194" s="50"/>
      <c r="H1194" s="42"/>
      <c r="I1194" s="307"/>
      <c r="J1194" s="306"/>
      <c r="K1194" s="1"/>
    </row>
    <row r="1195" spans="1:11" ht="24.75" customHeight="1">
      <c r="A1195" s="49" t="s">
        <v>597</v>
      </c>
      <c r="B1195" s="49"/>
      <c r="C1195" s="157"/>
      <c r="D1195" s="41" t="s">
        <v>212</v>
      </c>
      <c r="E1195" s="145">
        <v>10</v>
      </c>
      <c r="F1195" s="145">
        <v>12.1</v>
      </c>
      <c r="G1195" s="145">
        <v>10.1</v>
      </c>
      <c r="H1195" s="152">
        <f>G1195*4+F1195*9+E1195*4</f>
        <v>189.29999999999998</v>
      </c>
      <c r="I1195" s="306">
        <v>0.2</v>
      </c>
      <c r="J1195" s="306" t="s">
        <v>461</v>
      </c>
      <c r="K1195" s="1"/>
    </row>
    <row r="1196" spans="1:11" ht="38.25" customHeight="1">
      <c r="A1196" s="442" t="s">
        <v>594</v>
      </c>
      <c r="B1196" s="218">
        <v>155</v>
      </c>
      <c r="C1196" s="142">
        <v>70</v>
      </c>
      <c r="D1196" s="153"/>
      <c r="E1196" s="161"/>
      <c r="F1196" s="161"/>
      <c r="G1196" s="161"/>
      <c r="H1196" s="142"/>
      <c r="I1196" s="306"/>
      <c r="J1196" s="306"/>
      <c r="K1196" s="1"/>
    </row>
    <row r="1197" spans="1:11" ht="23.25" customHeight="1">
      <c r="A1197" s="234" t="s">
        <v>437</v>
      </c>
      <c r="B1197" s="218">
        <v>93</v>
      </c>
      <c r="C1197" s="142">
        <v>70</v>
      </c>
      <c r="D1197" s="153"/>
      <c r="E1197" s="145"/>
      <c r="F1197" s="145"/>
      <c r="G1197" s="145"/>
      <c r="H1197" s="142"/>
      <c r="I1197" s="306"/>
      <c r="J1197" s="306"/>
      <c r="K1197" s="1"/>
    </row>
    <row r="1198" spans="1:11" ht="27.75" customHeight="1">
      <c r="A1198" s="234" t="s">
        <v>414</v>
      </c>
      <c r="B1198" s="247">
        <v>70</v>
      </c>
      <c r="C1198" s="142">
        <v>70</v>
      </c>
      <c r="D1198" s="153"/>
      <c r="E1198" s="161"/>
      <c r="F1198" s="161"/>
      <c r="G1198" s="161"/>
      <c r="H1198" s="142"/>
      <c r="I1198" s="306"/>
      <c r="J1198" s="306"/>
      <c r="K1198" s="1"/>
    </row>
    <row r="1199" spans="1:11" ht="15.75" customHeight="1">
      <c r="A1199" s="115" t="s">
        <v>384</v>
      </c>
      <c r="B1199" s="16">
        <v>5</v>
      </c>
      <c r="C1199" s="42">
        <v>5</v>
      </c>
      <c r="D1199" s="153"/>
      <c r="E1199" s="161"/>
      <c r="F1199" s="161"/>
      <c r="G1199" s="161"/>
      <c r="H1199" s="142"/>
      <c r="I1199" s="306"/>
      <c r="J1199" s="306"/>
      <c r="K1199" s="1"/>
    </row>
    <row r="1200" spans="1:16" ht="18" customHeight="1">
      <c r="A1200" s="283" t="s">
        <v>167</v>
      </c>
      <c r="B1200" s="178">
        <v>3</v>
      </c>
      <c r="C1200" s="248">
        <v>3</v>
      </c>
      <c r="D1200" s="153"/>
      <c r="E1200" s="187"/>
      <c r="F1200" s="188"/>
      <c r="G1200" s="188"/>
      <c r="H1200" s="187"/>
      <c r="I1200" s="317"/>
      <c r="J1200" s="317"/>
      <c r="K1200" s="10"/>
      <c r="N1200" s="115" t="s">
        <v>29</v>
      </c>
      <c r="O1200" s="178">
        <v>32</v>
      </c>
      <c r="P1200" s="248">
        <v>32</v>
      </c>
    </row>
    <row r="1201" spans="1:16" ht="15.75" customHeight="1">
      <c r="A1201" s="283" t="s">
        <v>595</v>
      </c>
      <c r="B1201" s="443">
        <v>3</v>
      </c>
      <c r="C1201" s="142">
        <v>3</v>
      </c>
      <c r="D1201" s="91"/>
      <c r="E1201" s="188"/>
      <c r="F1201" s="188"/>
      <c r="G1201" s="188"/>
      <c r="H1201" s="187"/>
      <c r="I1201" s="317"/>
      <c r="J1201" s="317"/>
      <c r="K1201" s="63"/>
      <c r="N1201" s="115" t="s">
        <v>149</v>
      </c>
      <c r="O1201" s="178">
        <v>14</v>
      </c>
      <c r="P1201" s="248">
        <v>14</v>
      </c>
    </row>
    <row r="1202" spans="1:16" ht="12" customHeight="1">
      <c r="A1202" s="115" t="s">
        <v>29</v>
      </c>
      <c r="B1202" s="178">
        <v>5</v>
      </c>
      <c r="C1202" s="248">
        <v>5</v>
      </c>
      <c r="D1202" s="91"/>
      <c r="E1202" s="91"/>
      <c r="F1202" s="188"/>
      <c r="G1202" s="188"/>
      <c r="H1202" s="187"/>
      <c r="I1202" s="317"/>
      <c r="J1202" s="317"/>
      <c r="K1202" s="13"/>
      <c r="N1202" s="115" t="s">
        <v>28</v>
      </c>
      <c r="O1202" s="178">
        <v>1</v>
      </c>
      <c r="P1202" s="248">
        <v>1</v>
      </c>
    </row>
    <row r="1203" spans="1:16" ht="14.25" customHeight="1">
      <c r="A1203" s="115" t="s">
        <v>596</v>
      </c>
      <c r="B1203" s="178">
        <v>20</v>
      </c>
      <c r="C1203" s="248">
        <v>20</v>
      </c>
      <c r="D1203" s="91"/>
      <c r="E1203" s="91"/>
      <c r="F1203" s="188"/>
      <c r="G1203" s="188"/>
      <c r="H1203" s="187"/>
      <c r="I1203" s="317"/>
      <c r="J1203" s="317"/>
      <c r="K1203" s="14"/>
      <c r="N1203" s="115" t="s">
        <v>20</v>
      </c>
      <c r="O1203" s="178">
        <v>2</v>
      </c>
      <c r="P1203" s="248">
        <v>2</v>
      </c>
    </row>
    <row r="1204" spans="1:11" ht="18.75" customHeight="1">
      <c r="A1204" s="115" t="s">
        <v>13</v>
      </c>
      <c r="B1204" s="178">
        <v>5</v>
      </c>
      <c r="C1204" s="248">
        <v>5</v>
      </c>
      <c r="D1204" s="91"/>
      <c r="E1204" s="91"/>
      <c r="F1204" s="188"/>
      <c r="G1204" s="188"/>
      <c r="H1204" s="187"/>
      <c r="I1204" s="317"/>
      <c r="J1204" s="317"/>
      <c r="K1204" s="61"/>
    </row>
    <row r="1205" spans="1:11" ht="24.75" customHeight="1">
      <c r="A1205" s="473" t="s">
        <v>548</v>
      </c>
      <c r="B1205" s="474"/>
      <c r="C1205" s="475"/>
      <c r="D1205" s="151">
        <v>150</v>
      </c>
      <c r="E1205" s="145">
        <v>3.2</v>
      </c>
      <c r="F1205" s="145">
        <v>3.8</v>
      </c>
      <c r="G1205" s="145">
        <v>14.5</v>
      </c>
      <c r="H1205" s="152">
        <f>E1205*4+F1205*9+G1205*4</f>
        <v>105</v>
      </c>
      <c r="I1205" s="306">
        <v>25.02</v>
      </c>
      <c r="J1205" s="306" t="s">
        <v>348</v>
      </c>
      <c r="K1205" s="10"/>
    </row>
    <row r="1206" spans="1:11" ht="24.75" customHeight="1">
      <c r="A1206" s="139" t="s">
        <v>46</v>
      </c>
      <c r="B1206" s="187">
        <f>C1206*1.25</f>
        <v>193.75</v>
      </c>
      <c r="C1206" s="142">
        <v>155</v>
      </c>
      <c r="D1206" s="151"/>
      <c r="E1206" s="145"/>
      <c r="F1206" s="145"/>
      <c r="G1206" s="145"/>
      <c r="H1206" s="152"/>
      <c r="I1206" s="306"/>
      <c r="J1206" s="306"/>
      <c r="K1206" s="14"/>
    </row>
    <row r="1207" spans="1:11" ht="24.75" customHeight="1">
      <c r="A1207" s="139" t="s">
        <v>25</v>
      </c>
      <c r="B1207" s="142">
        <f>C1207*1.25</f>
        <v>22.5</v>
      </c>
      <c r="C1207" s="142">
        <v>18</v>
      </c>
      <c r="D1207" s="151"/>
      <c r="E1207" s="145"/>
      <c r="F1207" s="145"/>
      <c r="G1207" s="145"/>
      <c r="H1207" s="142"/>
      <c r="I1207" s="306"/>
      <c r="J1207" s="306"/>
      <c r="K1207" s="10"/>
    </row>
    <row r="1208" spans="1:11" ht="24.75" customHeight="1">
      <c r="A1208" s="139" t="s">
        <v>19</v>
      </c>
      <c r="B1208" s="142">
        <f>C1208*1.33</f>
        <v>23.94</v>
      </c>
      <c r="C1208" s="142">
        <v>18</v>
      </c>
      <c r="D1208" s="151"/>
      <c r="E1208" s="151"/>
      <c r="F1208" s="151"/>
      <c r="G1208" s="151"/>
      <c r="H1208" s="152"/>
      <c r="I1208" s="306"/>
      <c r="J1208" s="306"/>
      <c r="K1208" s="13"/>
    </row>
    <row r="1209" spans="1:11" ht="15.75" customHeight="1">
      <c r="A1209" s="139" t="s">
        <v>26</v>
      </c>
      <c r="B1209" s="142">
        <f>C1209*1.19</f>
        <v>10.709999999999999</v>
      </c>
      <c r="C1209" s="142">
        <v>9</v>
      </c>
      <c r="D1209" s="151"/>
      <c r="E1209" s="145"/>
      <c r="F1209" s="161"/>
      <c r="G1209" s="161"/>
      <c r="H1209" s="142"/>
      <c r="I1209" s="306"/>
      <c r="J1209" s="306"/>
      <c r="K1209" s="13"/>
    </row>
    <row r="1210" spans="1:11" ht="16.5" customHeight="1">
      <c r="A1210" s="139" t="s">
        <v>27</v>
      </c>
      <c r="B1210" s="142">
        <v>5</v>
      </c>
      <c r="C1210" s="142">
        <v>5</v>
      </c>
      <c r="D1210" s="151"/>
      <c r="E1210" s="145"/>
      <c r="F1210" s="161"/>
      <c r="G1210" s="161"/>
      <c r="H1210" s="142"/>
      <c r="I1210" s="306"/>
      <c r="J1210" s="306"/>
      <c r="K1210" s="13"/>
    </row>
    <row r="1211" spans="1:11" ht="16.5" customHeight="1">
      <c r="A1211" s="139" t="s">
        <v>95</v>
      </c>
      <c r="B1211" s="142">
        <v>6</v>
      </c>
      <c r="C1211" s="142">
        <v>6</v>
      </c>
      <c r="D1211" s="151"/>
      <c r="E1211" s="145"/>
      <c r="F1211" s="161"/>
      <c r="G1211" s="161"/>
      <c r="H1211" s="142"/>
      <c r="I1211" s="306"/>
      <c r="J1211" s="306"/>
      <c r="K1211" s="60"/>
    </row>
    <row r="1212" spans="1:11" ht="24.75" customHeight="1">
      <c r="A1212" s="171" t="s">
        <v>215</v>
      </c>
      <c r="B1212" s="410">
        <v>4</v>
      </c>
      <c r="C1212" s="153">
        <v>4</v>
      </c>
      <c r="D1212" s="145"/>
      <c r="E1212" s="145"/>
      <c r="F1212" s="145"/>
      <c r="G1212" s="145"/>
      <c r="H1212" s="152"/>
      <c r="I1212" s="306"/>
      <c r="J1212" s="306"/>
      <c r="K1212" s="10"/>
    </row>
    <row r="1213" spans="1:11" ht="24.75" customHeight="1">
      <c r="A1213" s="139" t="s">
        <v>28</v>
      </c>
      <c r="B1213" s="161">
        <v>2.3</v>
      </c>
      <c r="C1213" s="161">
        <v>2.25</v>
      </c>
      <c r="D1213" s="151"/>
      <c r="E1213" s="145"/>
      <c r="F1213" s="161"/>
      <c r="G1213" s="161"/>
      <c r="H1213" s="142"/>
      <c r="I1213" s="306"/>
      <c r="J1213" s="306"/>
      <c r="K1213" s="10"/>
    </row>
    <row r="1214" spans="1:11" ht="17.25" customHeight="1">
      <c r="A1214" s="139" t="s">
        <v>110</v>
      </c>
      <c r="B1214" s="142">
        <v>12</v>
      </c>
      <c r="C1214" s="142">
        <v>12</v>
      </c>
      <c r="D1214" s="151"/>
      <c r="E1214" s="145"/>
      <c r="F1214" s="161"/>
      <c r="G1214" s="161"/>
      <c r="H1214" s="142"/>
      <c r="I1214" s="306"/>
      <c r="J1214" s="306"/>
      <c r="K1214" s="62"/>
    </row>
    <row r="1215" spans="1:11" ht="24.75" customHeight="1">
      <c r="A1215" s="461" t="s">
        <v>101</v>
      </c>
      <c r="B1215" s="461"/>
      <c r="C1215" s="461"/>
      <c r="D1215" s="151">
        <v>200</v>
      </c>
      <c r="E1215" s="220">
        <v>0.6</v>
      </c>
      <c r="F1215" s="220">
        <v>0.3</v>
      </c>
      <c r="G1215" s="220">
        <v>18.5</v>
      </c>
      <c r="H1215" s="152">
        <f>E1215*4+F1215*9+G1215*4</f>
        <v>79.1</v>
      </c>
      <c r="I1215" s="306">
        <v>80</v>
      </c>
      <c r="J1215" s="362" t="s">
        <v>490</v>
      </c>
      <c r="K1215" s="8"/>
    </row>
    <row r="1216" spans="1:10" ht="24.75" customHeight="1">
      <c r="A1216" s="129" t="s">
        <v>106</v>
      </c>
      <c r="B1216" s="93">
        <v>20</v>
      </c>
      <c r="C1216" s="93">
        <v>20</v>
      </c>
      <c r="D1216" s="262"/>
      <c r="E1216" s="220"/>
      <c r="F1216" s="220"/>
      <c r="G1216" s="220"/>
      <c r="H1216" s="152"/>
      <c r="I1216" s="306"/>
      <c r="J1216" s="306"/>
    </row>
    <row r="1217" spans="1:11" ht="24.75" customHeight="1">
      <c r="A1217" s="184" t="s">
        <v>12</v>
      </c>
      <c r="B1217" s="183">
        <v>5</v>
      </c>
      <c r="C1217" s="183">
        <v>5</v>
      </c>
      <c r="D1217" s="354"/>
      <c r="E1217" s="354"/>
      <c r="F1217" s="354"/>
      <c r="G1217" s="354"/>
      <c r="H1217" s="354"/>
      <c r="I1217" s="354"/>
      <c r="J1217" s="355"/>
      <c r="K1217" s="14"/>
    </row>
    <row r="1218" spans="1:11" ht="24.75" customHeight="1">
      <c r="A1218" s="461" t="s">
        <v>258</v>
      </c>
      <c r="B1218" s="461"/>
      <c r="C1218" s="461"/>
      <c r="D1218" s="151">
        <v>50</v>
      </c>
      <c r="E1218" s="145">
        <v>4.099999999999999</v>
      </c>
      <c r="F1218" s="145">
        <v>0.7</v>
      </c>
      <c r="G1218" s="145">
        <v>19</v>
      </c>
      <c r="H1218" s="152">
        <v>98</v>
      </c>
      <c r="I1218" s="306">
        <v>0</v>
      </c>
      <c r="J1218" s="306"/>
      <c r="K1218" s="14"/>
    </row>
    <row r="1219" spans="1:11" ht="24.75" customHeight="1">
      <c r="A1219" s="461" t="s">
        <v>72</v>
      </c>
      <c r="B1219" s="461"/>
      <c r="C1219" s="461"/>
      <c r="D1219" s="151">
        <v>60</v>
      </c>
      <c r="E1219" s="145">
        <v>3.96</v>
      </c>
      <c r="F1219" s="145">
        <v>0.72</v>
      </c>
      <c r="G1219" s="145">
        <v>20.04</v>
      </c>
      <c r="H1219" s="152">
        <v>102.47999999999998</v>
      </c>
      <c r="I1219" s="306">
        <v>0</v>
      </c>
      <c r="J1219" s="306"/>
      <c r="K1219" s="14"/>
    </row>
    <row r="1220" spans="1:11" ht="24.75" customHeight="1">
      <c r="A1220" s="466" t="s">
        <v>61</v>
      </c>
      <c r="B1220" s="466"/>
      <c r="C1220" s="466"/>
      <c r="D1220" s="466"/>
      <c r="E1220" s="128">
        <f>E1221+E1231</f>
        <v>2.7</v>
      </c>
      <c r="F1220" s="128">
        <f>F1221+F1231</f>
        <v>4.1</v>
      </c>
      <c r="G1220" s="128">
        <f>G1221+G1231</f>
        <v>60</v>
      </c>
      <c r="H1220" s="116">
        <f>H1221+H1231</f>
        <v>287.70000000000005</v>
      </c>
      <c r="I1220" s="128">
        <f>I1221+I1231</f>
        <v>19.01</v>
      </c>
      <c r="J1220" s="159"/>
      <c r="K1220" s="14"/>
    </row>
    <row r="1221" spans="1:11" ht="24.75" customHeight="1">
      <c r="A1221" s="468" t="s">
        <v>108</v>
      </c>
      <c r="B1221" s="468"/>
      <c r="C1221" s="468"/>
      <c r="D1221" s="41">
        <v>90</v>
      </c>
      <c r="E1221" s="44">
        <v>2.6</v>
      </c>
      <c r="F1221" s="44">
        <v>4.1</v>
      </c>
      <c r="G1221" s="44">
        <v>38</v>
      </c>
      <c r="H1221" s="45">
        <f>E1221*4+F1221*9+G1221*4</f>
        <v>199.3</v>
      </c>
      <c r="I1221" s="307">
        <v>0.01</v>
      </c>
      <c r="J1221" s="306" t="s">
        <v>348</v>
      </c>
      <c r="K1221" s="14"/>
    </row>
    <row r="1222" spans="1:11" ht="24.75" customHeight="1">
      <c r="A1222" s="114" t="s">
        <v>28</v>
      </c>
      <c r="B1222" s="55">
        <v>20</v>
      </c>
      <c r="C1222" s="55">
        <v>20</v>
      </c>
      <c r="D1222" s="41"/>
      <c r="E1222" s="41"/>
      <c r="F1222" s="41"/>
      <c r="G1222" s="41"/>
      <c r="H1222" s="45"/>
      <c r="I1222" s="307"/>
      <c r="J1222" s="306"/>
      <c r="K1222" s="14"/>
    </row>
    <row r="1223" spans="1:11" ht="24.75" customHeight="1">
      <c r="A1223" s="114" t="s">
        <v>34</v>
      </c>
      <c r="B1223" s="55">
        <v>20</v>
      </c>
      <c r="C1223" s="55">
        <v>20</v>
      </c>
      <c r="D1223" s="41"/>
      <c r="E1223" s="41"/>
      <c r="F1223" s="41"/>
      <c r="G1223" s="41"/>
      <c r="H1223" s="45"/>
      <c r="I1223" s="307"/>
      <c r="J1223" s="306"/>
      <c r="K1223" s="14"/>
    </row>
    <row r="1224" spans="1:11" ht="24.75" customHeight="1">
      <c r="A1224" s="290" t="s">
        <v>12</v>
      </c>
      <c r="B1224" s="163">
        <v>18</v>
      </c>
      <c r="C1224" s="163">
        <v>18</v>
      </c>
      <c r="D1224" s="151"/>
      <c r="E1224" s="151"/>
      <c r="F1224" s="145"/>
      <c r="G1224" s="145"/>
      <c r="H1224" s="152"/>
      <c r="I1224" s="306"/>
      <c r="J1224" s="306"/>
      <c r="K1224" s="14"/>
    </row>
    <row r="1225" spans="1:11" ht="24.75" customHeight="1">
      <c r="A1225" s="202" t="s">
        <v>27</v>
      </c>
      <c r="B1225" s="201">
        <v>5</v>
      </c>
      <c r="C1225" s="201">
        <v>5</v>
      </c>
      <c r="D1225" s="41"/>
      <c r="E1225" s="41"/>
      <c r="F1225" s="44"/>
      <c r="G1225" s="200"/>
      <c r="H1225" s="201"/>
      <c r="I1225" s="309"/>
      <c r="J1225" s="317"/>
      <c r="K1225" s="14"/>
    </row>
    <row r="1226" spans="1:11" ht="24.75" customHeight="1">
      <c r="A1226" s="115" t="s">
        <v>95</v>
      </c>
      <c r="B1226" s="201">
        <v>20</v>
      </c>
      <c r="C1226" s="201">
        <v>20</v>
      </c>
      <c r="D1226" s="41"/>
      <c r="E1226" s="41"/>
      <c r="F1226" s="44"/>
      <c r="G1226" s="200"/>
      <c r="H1226" s="201"/>
      <c r="I1226" s="309"/>
      <c r="J1226" s="317"/>
      <c r="K1226" s="14"/>
    </row>
    <row r="1227" spans="1:11" ht="24.75" customHeight="1">
      <c r="A1227" s="115" t="s">
        <v>29</v>
      </c>
      <c r="B1227" s="201">
        <v>19.8</v>
      </c>
      <c r="C1227" s="201">
        <v>19.8</v>
      </c>
      <c r="D1227" s="41"/>
      <c r="E1227" s="41"/>
      <c r="F1227" s="44"/>
      <c r="G1227" s="200"/>
      <c r="H1227" s="201"/>
      <c r="I1227" s="309"/>
      <c r="J1227" s="317"/>
      <c r="K1227" s="14"/>
    </row>
    <row r="1228" spans="1:11" ht="39.75" customHeight="1">
      <c r="A1228" s="343" t="s">
        <v>295</v>
      </c>
      <c r="B1228" s="201">
        <v>1</v>
      </c>
      <c r="C1228" s="201">
        <v>1</v>
      </c>
      <c r="D1228" s="41"/>
      <c r="E1228" s="41"/>
      <c r="F1228" s="44"/>
      <c r="G1228" s="200"/>
      <c r="H1228" s="201"/>
      <c r="I1228" s="309"/>
      <c r="J1228" s="317"/>
      <c r="K1228" s="14"/>
    </row>
    <row r="1229" spans="1:11" ht="24.75" customHeight="1">
      <c r="A1229" s="123" t="s">
        <v>105</v>
      </c>
      <c r="B1229" s="201">
        <v>3</v>
      </c>
      <c r="C1229" s="201">
        <v>3</v>
      </c>
      <c r="D1229" s="41"/>
      <c r="E1229" s="41"/>
      <c r="F1229" s="44"/>
      <c r="G1229" s="200"/>
      <c r="H1229" s="201"/>
      <c r="I1229" s="309"/>
      <c r="J1229" s="317"/>
      <c r="K1229" s="10"/>
    </row>
    <row r="1230" spans="1:11" ht="24.75" customHeight="1">
      <c r="A1230" s="172" t="s">
        <v>119</v>
      </c>
      <c r="B1230" s="140">
        <v>0.5</v>
      </c>
      <c r="C1230" s="140">
        <v>0.5</v>
      </c>
      <c r="D1230" s="41"/>
      <c r="E1230" s="41"/>
      <c r="F1230" s="200"/>
      <c r="G1230" s="200"/>
      <c r="H1230" s="201"/>
      <c r="I1230" s="309"/>
      <c r="J1230" s="317"/>
      <c r="K1230" s="10"/>
    </row>
    <row r="1231" spans="1:10" ht="24.75" customHeight="1">
      <c r="A1231" s="482" t="s">
        <v>504</v>
      </c>
      <c r="B1231" s="482"/>
      <c r="C1231" s="482"/>
      <c r="D1231" s="143">
        <v>200</v>
      </c>
      <c r="E1231" s="143">
        <v>0.1</v>
      </c>
      <c r="F1231" s="144">
        <v>0</v>
      </c>
      <c r="G1231" s="144">
        <v>22</v>
      </c>
      <c r="H1231" s="152">
        <f>E1231*4+F1231*9+G1231*4</f>
        <v>88.4</v>
      </c>
      <c r="I1231" s="317">
        <v>19</v>
      </c>
      <c r="J1231" s="317" t="s">
        <v>503</v>
      </c>
    </row>
    <row r="1232" spans="1:10" ht="24.75" customHeight="1">
      <c r="A1232" s="466" t="s">
        <v>30</v>
      </c>
      <c r="B1232" s="466"/>
      <c r="C1232" s="466"/>
      <c r="D1232" s="466"/>
      <c r="E1232" s="128">
        <f>SUM(E1233:E1259)</f>
        <v>18.72</v>
      </c>
      <c r="F1232" s="128">
        <f>SUM(F1233:F1259)</f>
        <v>18.26</v>
      </c>
      <c r="G1232" s="128">
        <f>SUM(G1233:G1259)</f>
        <v>68.82</v>
      </c>
      <c r="H1232" s="116">
        <f>SUM(H1233:H1259)</f>
        <v>514.08</v>
      </c>
      <c r="I1232" s="128">
        <f>SUM(I1233:I1259)</f>
        <v>43.61</v>
      </c>
      <c r="J1232" s="159"/>
    </row>
    <row r="1233" spans="1:10" ht="24.75" customHeight="1">
      <c r="A1233" s="369" t="s">
        <v>549</v>
      </c>
      <c r="B1233" s="142"/>
      <c r="C1233" s="153"/>
      <c r="D1233" s="151">
        <v>70</v>
      </c>
      <c r="E1233" s="145">
        <v>0.4</v>
      </c>
      <c r="F1233" s="145">
        <v>0</v>
      </c>
      <c r="G1233" s="145">
        <v>5.2</v>
      </c>
      <c r="H1233" s="45">
        <f>E1233*4+F1233*9+G1233*4</f>
        <v>22.400000000000002</v>
      </c>
      <c r="I1233" s="306">
        <v>17.15</v>
      </c>
      <c r="J1233" s="306"/>
    </row>
    <row r="1234" spans="1:10" ht="24.75" customHeight="1">
      <c r="A1234" s="341" t="s">
        <v>122</v>
      </c>
      <c r="B1234" s="142">
        <f>C1234*1.02</f>
        <v>71.4</v>
      </c>
      <c r="C1234" s="153">
        <v>70</v>
      </c>
      <c r="D1234" s="151"/>
      <c r="E1234" s="145"/>
      <c r="F1234" s="145"/>
      <c r="G1234" s="145"/>
      <c r="H1234" s="45"/>
      <c r="I1234" s="306"/>
      <c r="J1234" s="306"/>
    </row>
    <row r="1235" spans="1:10" ht="24.75" customHeight="1">
      <c r="A1235" s="184" t="s">
        <v>227</v>
      </c>
      <c r="B1235" s="187">
        <f>C1235*1.18</f>
        <v>82.6</v>
      </c>
      <c r="C1235" s="153">
        <v>70</v>
      </c>
      <c r="D1235" s="370"/>
      <c r="E1235" s="159"/>
      <c r="F1235" s="159"/>
      <c r="G1235" s="159"/>
      <c r="H1235" s="215"/>
      <c r="I1235" s="308"/>
      <c r="J1235" s="308"/>
    </row>
    <row r="1236" spans="1:10" ht="24.75" customHeight="1">
      <c r="A1236" s="139" t="s">
        <v>250</v>
      </c>
      <c r="B1236" s="142">
        <f>C1236*1.82</f>
        <v>127.4</v>
      </c>
      <c r="C1236" s="153">
        <v>70</v>
      </c>
      <c r="D1236" s="173"/>
      <c r="E1236" s="128"/>
      <c r="F1236" s="128"/>
      <c r="G1236" s="128"/>
      <c r="H1236" s="116"/>
      <c r="I1236" s="305"/>
      <c r="J1236" s="308"/>
    </row>
    <row r="1237" spans="1:10" ht="24.75" customHeight="1">
      <c r="A1237" s="369" t="s">
        <v>462</v>
      </c>
      <c r="B1237" s="169"/>
      <c r="C1237" s="169"/>
      <c r="D1237" s="151">
        <v>90</v>
      </c>
      <c r="E1237" s="145">
        <v>7.9</v>
      </c>
      <c r="F1237" s="145">
        <v>9.8</v>
      </c>
      <c r="G1237" s="145">
        <v>7</v>
      </c>
      <c r="H1237" s="45">
        <f>E1237*4+F1237*9+G1237*4</f>
        <v>147.8</v>
      </c>
      <c r="I1237" s="307">
        <v>0.04</v>
      </c>
      <c r="J1237" s="306" t="s">
        <v>463</v>
      </c>
    </row>
    <row r="1238" spans="1:10" ht="24.75" customHeight="1">
      <c r="A1238" s="195" t="s">
        <v>62</v>
      </c>
      <c r="B1238" s="196">
        <f>C1238*1.36</f>
        <v>99.28</v>
      </c>
      <c r="C1238" s="153">
        <v>73</v>
      </c>
      <c r="D1238" s="151"/>
      <c r="E1238" s="151"/>
      <c r="F1238" s="145"/>
      <c r="G1238" s="145"/>
      <c r="H1238" s="152"/>
      <c r="I1238" s="306"/>
      <c r="J1238" s="306"/>
    </row>
    <row r="1239" spans="1:10" ht="24.75" customHeight="1">
      <c r="A1239" s="117" t="s">
        <v>74</v>
      </c>
      <c r="B1239" s="218">
        <f>C1239*1.18</f>
        <v>86.14</v>
      </c>
      <c r="C1239" s="153">
        <v>73</v>
      </c>
      <c r="D1239" s="151"/>
      <c r="E1239" s="145"/>
      <c r="F1239" s="145"/>
      <c r="G1239" s="145"/>
      <c r="H1239" s="45"/>
      <c r="I1239" s="307"/>
      <c r="J1239" s="306"/>
    </row>
    <row r="1240" spans="1:10" ht="24.75" customHeight="1">
      <c r="A1240" s="117" t="s">
        <v>414</v>
      </c>
      <c r="B1240" s="218">
        <f>C1240</f>
        <v>73</v>
      </c>
      <c r="C1240" s="153">
        <v>73</v>
      </c>
      <c r="D1240" s="151"/>
      <c r="E1240" s="145"/>
      <c r="F1240" s="145"/>
      <c r="G1240" s="145"/>
      <c r="H1240" s="45"/>
      <c r="I1240" s="307"/>
      <c r="J1240" s="306"/>
    </row>
    <row r="1241" spans="1:10" ht="24.75" customHeight="1">
      <c r="A1241" s="139" t="s">
        <v>36</v>
      </c>
      <c r="B1241" s="153">
        <v>10</v>
      </c>
      <c r="C1241" s="153">
        <v>10</v>
      </c>
      <c r="D1241" s="151"/>
      <c r="E1241" s="151"/>
      <c r="F1241" s="145"/>
      <c r="G1241" s="145"/>
      <c r="H1241" s="152"/>
      <c r="I1241" s="306"/>
      <c r="J1241" s="306"/>
    </row>
    <row r="1242" spans="1:10" ht="24.75" customHeight="1">
      <c r="A1242" s="438" t="s">
        <v>569</v>
      </c>
      <c r="B1242" s="153">
        <v>16</v>
      </c>
      <c r="C1242" s="153">
        <v>16</v>
      </c>
      <c r="D1242" s="151"/>
      <c r="E1242" s="151"/>
      <c r="F1242" s="145"/>
      <c r="G1242" s="145"/>
      <c r="H1242" s="152"/>
      <c r="I1242" s="306"/>
      <c r="J1242" s="306"/>
    </row>
    <row r="1243" spans="1:13" ht="24.75" customHeight="1">
      <c r="A1243" s="182" t="s">
        <v>26</v>
      </c>
      <c r="B1243" s="142">
        <f>C1243*1.19</f>
        <v>6.545</v>
      </c>
      <c r="C1243" s="153">
        <v>5.5</v>
      </c>
      <c r="D1243" s="151"/>
      <c r="E1243" s="151"/>
      <c r="F1243" s="145"/>
      <c r="G1243" s="145"/>
      <c r="H1243" s="152"/>
      <c r="I1243" s="306"/>
      <c r="J1243" s="306"/>
      <c r="L1243" s="25"/>
      <c r="M1243" s="25"/>
    </row>
    <row r="1244" spans="1:13" ht="24.75" customHeight="1">
      <c r="A1244" s="123" t="s">
        <v>167</v>
      </c>
      <c r="B1244" s="153">
        <v>9</v>
      </c>
      <c r="C1244" s="153">
        <v>9</v>
      </c>
      <c r="D1244" s="151"/>
      <c r="E1244" s="151"/>
      <c r="F1244" s="145"/>
      <c r="G1244" s="145"/>
      <c r="H1244" s="152"/>
      <c r="I1244" s="306"/>
      <c r="J1244" s="306"/>
      <c r="L1244" s="25"/>
      <c r="M1244" s="25"/>
    </row>
    <row r="1245" spans="1:13" ht="24.75" customHeight="1">
      <c r="A1245" s="139" t="s">
        <v>20</v>
      </c>
      <c r="B1245" s="153">
        <v>6</v>
      </c>
      <c r="C1245" s="153">
        <v>6</v>
      </c>
      <c r="D1245" s="151"/>
      <c r="E1245" s="151"/>
      <c r="F1245" s="145"/>
      <c r="G1245" s="145"/>
      <c r="H1245" s="152"/>
      <c r="I1245" s="306"/>
      <c r="J1245" s="306"/>
      <c r="L1245" s="25"/>
      <c r="M1245" s="25"/>
    </row>
    <row r="1246" spans="1:13" ht="24.75" customHeight="1">
      <c r="A1246" s="468" t="s">
        <v>49</v>
      </c>
      <c r="B1246" s="468"/>
      <c r="C1246" s="468"/>
      <c r="D1246" s="41">
        <v>150</v>
      </c>
      <c r="E1246" s="145">
        <v>3.2</v>
      </c>
      <c r="F1246" s="145">
        <v>4.2</v>
      </c>
      <c r="G1246" s="145">
        <v>21.6</v>
      </c>
      <c r="H1246" s="152">
        <f>E1246*4+F1246*9+G1246*4</f>
        <v>137</v>
      </c>
      <c r="I1246" s="306">
        <v>25.4</v>
      </c>
      <c r="J1246" s="306" t="s">
        <v>364</v>
      </c>
      <c r="L1246" s="25"/>
      <c r="M1246" s="25"/>
    </row>
    <row r="1247" spans="1:13" ht="24.75" customHeight="1">
      <c r="A1247" s="139" t="s">
        <v>21</v>
      </c>
      <c r="B1247" s="187">
        <f>C1247*1.33</f>
        <v>170.34230769230768</v>
      </c>
      <c r="C1247" s="142">
        <v>128.07692307692307</v>
      </c>
      <c r="D1247" s="142"/>
      <c r="E1247" s="161"/>
      <c r="F1247" s="161"/>
      <c r="G1247" s="161"/>
      <c r="H1247" s="142"/>
      <c r="I1247" s="306"/>
      <c r="J1247" s="306"/>
      <c r="L1247" s="25"/>
      <c r="M1247" s="25"/>
    </row>
    <row r="1248" spans="1:13" ht="24.75" customHeight="1">
      <c r="A1248" s="115" t="s">
        <v>22</v>
      </c>
      <c r="B1248" s="94">
        <f>C1248*1.43</f>
        <v>183.14999999999998</v>
      </c>
      <c r="C1248" s="42">
        <v>128.07692307692307</v>
      </c>
      <c r="D1248" s="42"/>
      <c r="E1248" s="50"/>
      <c r="F1248" s="50"/>
      <c r="G1248" s="50"/>
      <c r="H1248" s="42"/>
      <c r="I1248" s="307"/>
      <c r="J1248" s="306"/>
      <c r="L1248" s="25"/>
      <c r="M1248" s="25"/>
    </row>
    <row r="1249" spans="1:13" ht="24.75" customHeight="1">
      <c r="A1249" s="123" t="s">
        <v>23</v>
      </c>
      <c r="B1249" s="94">
        <f>C1249*1.54</f>
        <v>197.23846153846154</v>
      </c>
      <c r="C1249" s="42">
        <v>128.07692307692307</v>
      </c>
      <c r="D1249" s="42"/>
      <c r="E1249" s="50"/>
      <c r="F1249" s="50"/>
      <c r="G1249" s="50"/>
      <c r="H1249" s="42"/>
      <c r="I1249" s="307"/>
      <c r="J1249" s="306"/>
      <c r="L1249" s="165"/>
      <c r="M1249" s="165"/>
    </row>
    <row r="1250" spans="1:13" ht="24.75" customHeight="1">
      <c r="A1250" s="123" t="s">
        <v>24</v>
      </c>
      <c r="B1250" s="94">
        <f>C1250*1.67</f>
        <v>213.8884615384615</v>
      </c>
      <c r="C1250" s="42">
        <v>128.07692307692307</v>
      </c>
      <c r="D1250" s="42"/>
      <c r="E1250" s="50"/>
      <c r="F1250" s="50"/>
      <c r="G1250" s="50"/>
      <c r="H1250" s="42"/>
      <c r="I1250" s="307"/>
      <c r="J1250" s="306"/>
      <c r="L1250" s="25"/>
      <c r="M1250" s="25"/>
    </row>
    <row r="1251" spans="1:13" ht="24.75" customHeight="1">
      <c r="A1251" s="182" t="s">
        <v>149</v>
      </c>
      <c r="B1251" s="42">
        <v>24</v>
      </c>
      <c r="C1251" s="42">
        <v>24</v>
      </c>
      <c r="D1251" s="42"/>
      <c r="E1251" s="50"/>
      <c r="F1251" s="50"/>
      <c r="G1251" s="50"/>
      <c r="H1251" s="42"/>
      <c r="I1251" s="307"/>
      <c r="J1251" s="306"/>
      <c r="L1251" s="25"/>
      <c r="M1251" s="25"/>
    </row>
    <row r="1252" spans="1:13" ht="24.75" customHeight="1">
      <c r="A1252" s="115" t="s">
        <v>27</v>
      </c>
      <c r="B1252" s="42">
        <v>4</v>
      </c>
      <c r="C1252" s="42">
        <v>4</v>
      </c>
      <c r="D1252" s="42"/>
      <c r="E1252" s="50"/>
      <c r="F1252" s="50"/>
      <c r="G1252" s="50"/>
      <c r="H1252" s="42"/>
      <c r="I1252" s="307"/>
      <c r="J1252" s="306"/>
      <c r="L1252" s="25"/>
      <c r="M1252" s="25"/>
    </row>
    <row r="1253" spans="1:13" ht="44.25" customHeight="1">
      <c r="A1253" s="468" t="s">
        <v>37</v>
      </c>
      <c r="B1253" s="468"/>
      <c r="C1253" s="468"/>
      <c r="D1253" s="41">
        <v>200</v>
      </c>
      <c r="E1253" s="44">
        <v>0.2</v>
      </c>
      <c r="F1253" s="44">
        <v>0</v>
      </c>
      <c r="G1253" s="44">
        <v>10.9</v>
      </c>
      <c r="H1253" s="152">
        <f>E1253*4+F1253*9+G1253*4</f>
        <v>44.4</v>
      </c>
      <c r="I1253" s="307">
        <v>0</v>
      </c>
      <c r="J1253" s="306" t="s">
        <v>353</v>
      </c>
      <c r="L1253" s="25"/>
      <c r="M1253" s="25"/>
    </row>
    <row r="1254" spans="1:13" ht="24" customHeight="1">
      <c r="A1254" s="115" t="s">
        <v>16</v>
      </c>
      <c r="B1254" s="16">
        <v>0.4</v>
      </c>
      <c r="C1254" s="16">
        <v>0.4</v>
      </c>
      <c r="D1254" s="16"/>
      <c r="E1254" s="50"/>
      <c r="F1254" s="50"/>
      <c r="G1254" s="50"/>
      <c r="H1254" s="42"/>
      <c r="I1254" s="307"/>
      <c r="J1254" s="306"/>
      <c r="L1254" s="25"/>
      <c r="M1254" s="25"/>
    </row>
    <row r="1255" spans="1:13" ht="26.25" customHeight="1">
      <c r="A1255" s="139" t="s">
        <v>161</v>
      </c>
      <c r="B1255" s="153">
        <v>12</v>
      </c>
      <c r="C1255" s="153">
        <v>12</v>
      </c>
      <c r="D1255" s="153"/>
      <c r="E1255" s="161"/>
      <c r="F1255" s="161"/>
      <c r="G1255" s="161"/>
      <c r="H1255" s="161"/>
      <c r="I1255" s="161"/>
      <c r="J1255" s="306"/>
      <c r="L1255" s="25"/>
      <c r="M1255" s="25"/>
    </row>
    <row r="1256" spans="1:13" ht="32.25" customHeight="1">
      <c r="A1256" s="461" t="s">
        <v>72</v>
      </c>
      <c r="B1256" s="461"/>
      <c r="C1256" s="461"/>
      <c r="D1256" s="151">
        <v>20</v>
      </c>
      <c r="E1256" s="145">
        <v>1.36</v>
      </c>
      <c r="F1256" s="145">
        <v>0.24</v>
      </c>
      <c r="G1256" s="145">
        <v>6.72</v>
      </c>
      <c r="H1256" s="152">
        <v>34.48</v>
      </c>
      <c r="I1256" s="306">
        <v>0</v>
      </c>
      <c r="J1256" s="306"/>
      <c r="L1256" s="25"/>
      <c r="M1256" s="25"/>
    </row>
    <row r="1257" spans="1:10" ht="26.25" customHeight="1">
      <c r="A1257" s="461" t="s">
        <v>258</v>
      </c>
      <c r="B1257" s="461"/>
      <c r="C1257" s="461"/>
      <c r="D1257" s="151">
        <v>30</v>
      </c>
      <c r="E1257" s="145">
        <v>2.4599999999999995</v>
      </c>
      <c r="F1257" s="145">
        <v>0.42</v>
      </c>
      <c r="G1257" s="145">
        <v>11.4</v>
      </c>
      <c r="H1257" s="152">
        <v>58.8</v>
      </c>
      <c r="I1257" s="306">
        <v>0</v>
      </c>
      <c r="J1257" s="306"/>
    </row>
    <row r="1258" spans="1:10" ht="34.5" customHeight="1">
      <c r="A1258" s="466" t="s">
        <v>232</v>
      </c>
      <c r="B1258" s="466"/>
      <c r="C1258" s="466"/>
      <c r="D1258" s="466"/>
      <c r="E1258" s="466"/>
      <c r="F1258" s="466"/>
      <c r="G1258" s="466"/>
      <c r="H1258" s="466"/>
      <c r="I1258" s="466"/>
      <c r="J1258" s="466"/>
    </row>
    <row r="1259" spans="1:10" ht="24.75" customHeight="1">
      <c r="A1259" s="274" t="s">
        <v>257</v>
      </c>
      <c r="B1259" s="16">
        <v>154</v>
      </c>
      <c r="C1259" s="112">
        <v>150</v>
      </c>
      <c r="D1259" s="41">
        <v>150</v>
      </c>
      <c r="E1259" s="44">
        <v>3.2</v>
      </c>
      <c r="F1259" s="44">
        <v>3.6</v>
      </c>
      <c r="G1259" s="44">
        <v>6</v>
      </c>
      <c r="H1259" s="45">
        <f>E1259*4+F1259*9+G1259*4</f>
        <v>69.2</v>
      </c>
      <c r="I1259" s="307">
        <v>1.02</v>
      </c>
      <c r="J1259" s="306" t="s">
        <v>372</v>
      </c>
    </row>
    <row r="1260" spans="1:10" ht="24.75" customHeight="1">
      <c r="A1260" s="478" t="s">
        <v>141</v>
      </c>
      <c r="B1260" s="478"/>
      <c r="C1260" s="478"/>
      <c r="D1260" s="478"/>
      <c r="E1260" s="216">
        <f>E1258+E1232+E1220+E1166+E1144+E1163</f>
        <v>65.71749999999999</v>
      </c>
      <c r="F1260" s="217">
        <f>F1258+F1232+F1220+F1166+F1144+F1163</f>
        <v>71.78</v>
      </c>
      <c r="G1260" s="217">
        <f>G1258+G1232+G1220+G1166+G1144+G1163</f>
        <v>314.28499999999997</v>
      </c>
      <c r="H1260" s="217">
        <f>H1258+H1232+H1220+H1166+H1144+H1163</f>
        <v>2164.91</v>
      </c>
      <c r="I1260" s="318">
        <f>I1258+I1232+I1220+I1166+I1144+I1163</f>
        <v>193.1368181818182</v>
      </c>
      <c r="J1260" s="324"/>
    </row>
    <row r="1261" spans="1:13" ht="24.75" customHeight="1" thickBot="1">
      <c r="A1261" s="493" t="s">
        <v>0</v>
      </c>
      <c r="B1261" s="493"/>
      <c r="C1261" s="493"/>
      <c r="D1261" s="493"/>
      <c r="E1261" s="493"/>
      <c r="F1261" s="493"/>
      <c r="G1261" s="493"/>
      <c r="H1261" s="493"/>
      <c r="I1261" s="493"/>
      <c r="J1261" s="493"/>
      <c r="L1261" s="181" t="s">
        <v>99</v>
      </c>
      <c r="M1261" s="103"/>
    </row>
    <row r="1262" spans="1:13" ht="24.75" customHeight="1">
      <c r="A1262" s="493" t="s">
        <v>99</v>
      </c>
      <c r="B1262" s="493"/>
      <c r="C1262" s="493"/>
      <c r="D1262" s="493"/>
      <c r="E1262" s="493"/>
      <c r="F1262" s="493"/>
      <c r="G1262" s="493"/>
      <c r="H1262" s="493"/>
      <c r="I1262" s="493"/>
      <c r="J1262" s="493"/>
      <c r="L1262" s="59" t="s">
        <v>72</v>
      </c>
      <c r="M1262" s="103">
        <f>D1327+D1360</f>
        <v>65</v>
      </c>
    </row>
    <row r="1263" spans="1:13" ht="24.75" customHeight="1">
      <c r="A1263" s="455" t="s">
        <v>2</v>
      </c>
      <c r="B1263" s="449" t="s">
        <v>3</v>
      </c>
      <c r="C1263" s="449" t="s">
        <v>4</v>
      </c>
      <c r="D1263" s="455" t="s">
        <v>5</v>
      </c>
      <c r="E1263" s="455"/>
      <c r="F1263" s="455"/>
      <c r="G1263" s="455"/>
      <c r="H1263" s="455"/>
      <c r="I1263" s="455"/>
      <c r="J1263" s="446" t="s">
        <v>311</v>
      </c>
      <c r="L1263" s="221" t="s">
        <v>82</v>
      </c>
      <c r="M1263" s="222">
        <f>D1326+D1359+B1338+C1279+D1329+B1307</f>
        <v>180</v>
      </c>
    </row>
    <row r="1264" spans="1:13" ht="24.75" customHeight="1">
      <c r="A1264" s="455"/>
      <c r="B1264" s="449"/>
      <c r="C1264" s="449"/>
      <c r="D1264" s="449" t="s">
        <v>6</v>
      </c>
      <c r="E1264" s="467" t="s">
        <v>7</v>
      </c>
      <c r="F1264" s="467" t="s">
        <v>8</v>
      </c>
      <c r="G1264" s="467" t="s">
        <v>9</v>
      </c>
      <c r="H1264" s="453" t="s">
        <v>10</v>
      </c>
      <c r="I1264" s="444" t="s">
        <v>312</v>
      </c>
      <c r="J1264" s="447"/>
      <c r="L1264" s="35" t="s">
        <v>83</v>
      </c>
      <c r="M1264" s="103">
        <f>B1316+B1342+B1304</f>
        <v>15.8</v>
      </c>
    </row>
    <row r="1265" spans="1:13" ht="24.75" customHeight="1">
      <c r="A1265" s="455"/>
      <c r="B1265" s="449"/>
      <c r="C1265" s="449"/>
      <c r="D1265" s="449"/>
      <c r="E1265" s="467"/>
      <c r="F1265" s="467"/>
      <c r="G1265" s="467"/>
      <c r="H1265" s="453"/>
      <c r="I1265" s="445"/>
      <c r="J1265" s="448"/>
      <c r="L1265" s="36" t="s">
        <v>126</v>
      </c>
      <c r="M1265" s="103">
        <f>B1319+B1268</f>
        <v>64.5</v>
      </c>
    </row>
    <row r="1266" spans="1:12" ht="24.75" customHeight="1">
      <c r="A1266" s="466" t="s">
        <v>11</v>
      </c>
      <c r="B1266" s="466"/>
      <c r="C1266" s="466"/>
      <c r="D1266" s="466"/>
      <c r="E1266" s="128">
        <f>E1267+E1274+E1278+E1283+E1288</f>
        <v>16.999999999999996</v>
      </c>
      <c r="F1266" s="128">
        <f>F1267+F1274+F1278+F1283+F1288</f>
        <v>18.8</v>
      </c>
      <c r="G1266" s="128">
        <f>G1267+G1274+G1278+G1283+G1288</f>
        <v>71.1</v>
      </c>
      <c r="H1266" s="116">
        <f>H1267+H1274+H1278+H1283+H1288</f>
        <v>517.6</v>
      </c>
      <c r="I1266" s="128">
        <f>I1267+I1274+I1278+I1283+I1288</f>
        <v>19.765</v>
      </c>
      <c r="J1266" s="159"/>
      <c r="L1266" s="39" t="s">
        <v>330</v>
      </c>
    </row>
    <row r="1267" spans="1:13" ht="24.75" customHeight="1">
      <c r="A1267" s="468" t="s">
        <v>55</v>
      </c>
      <c r="B1267" s="468"/>
      <c r="C1267" s="468"/>
      <c r="D1267" s="41" t="s">
        <v>242</v>
      </c>
      <c r="E1267" s="145">
        <v>5.2</v>
      </c>
      <c r="F1267" s="145">
        <v>7.2</v>
      </c>
      <c r="G1267" s="145">
        <v>26</v>
      </c>
      <c r="H1267" s="152">
        <f>E1267*4+F1267*9+G1267*4</f>
        <v>189.6</v>
      </c>
      <c r="I1267" s="306">
        <v>0.26</v>
      </c>
      <c r="J1267" s="306" t="s">
        <v>350</v>
      </c>
      <c r="L1267" s="35" t="s">
        <v>138</v>
      </c>
      <c r="M1267" s="103">
        <f>B1297+B1347</f>
        <v>226.10000000000002</v>
      </c>
    </row>
    <row r="1268" spans="1:13" ht="24.75" customHeight="1">
      <c r="A1268" s="115" t="s">
        <v>56</v>
      </c>
      <c r="B1268" s="16">
        <v>27</v>
      </c>
      <c r="C1268" s="16">
        <v>27</v>
      </c>
      <c r="D1268" s="16"/>
      <c r="E1268" s="16"/>
      <c r="F1268" s="50"/>
      <c r="G1268" s="50"/>
      <c r="H1268" s="42"/>
      <c r="I1268" s="307"/>
      <c r="J1268" s="306"/>
      <c r="L1268" s="35" t="s">
        <v>84</v>
      </c>
      <c r="M1268" s="103">
        <f>B1291+B1293+B1301+B1303+B1312+B1314+B1317+B1346+B1354+B1351+B1340+B1281</f>
        <v>242.97000000000003</v>
      </c>
    </row>
    <row r="1269" spans="1:13" ht="24.75" customHeight="1">
      <c r="A1269" s="182" t="s">
        <v>149</v>
      </c>
      <c r="B1269" s="42">
        <v>124</v>
      </c>
      <c r="C1269" s="42">
        <v>124</v>
      </c>
      <c r="D1269" s="16"/>
      <c r="E1269" s="50"/>
      <c r="F1269" s="50"/>
      <c r="G1269" s="50"/>
      <c r="H1269" s="42"/>
      <c r="I1269" s="307"/>
      <c r="J1269" s="306"/>
      <c r="L1269" s="221" t="s">
        <v>85</v>
      </c>
      <c r="M1269" s="222">
        <f>B1323+D1288</f>
        <v>205.3</v>
      </c>
    </row>
    <row r="1270" spans="1:13" ht="24.75" customHeight="1">
      <c r="A1270" s="139" t="s">
        <v>110</v>
      </c>
      <c r="B1270" s="153">
        <v>76</v>
      </c>
      <c r="C1270" s="153">
        <v>76</v>
      </c>
      <c r="D1270" s="153"/>
      <c r="E1270" s="153"/>
      <c r="F1270" s="153"/>
      <c r="G1270" s="153"/>
      <c r="H1270" s="142"/>
      <c r="I1270" s="306"/>
      <c r="J1270" s="306"/>
      <c r="L1270" s="221" t="s">
        <v>127</v>
      </c>
      <c r="M1270" s="222">
        <f>D1331</f>
        <v>200</v>
      </c>
    </row>
    <row r="1271" spans="1:13" ht="24.75" customHeight="1">
      <c r="A1271" s="139" t="s">
        <v>12</v>
      </c>
      <c r="B1271" s="142">
        <v>4</v>
      </c>
      <c r="C1271" s="142">
        <v>4</v>
      </c>
      <c r="D1271" s="153"/>
      <c r="E1271" s="153"/>
      <c r="F1271" s="161"/>
      <c r="G1271" s="161"/>
      <c r="H1271" s="142"/>
      <c r="I1271" s="306"/>
      <c r="J1271" s="306"/>
      <c r="L1271" s="35" t="s">
        <v>86</v>
      </c>
      <c r="M1271" s="103"/>
    </row>
    <row r="1272" spans="1:13" ht="24.75" customHeight="1">
      <c r="A1272" s="190" t="s">
        <v>150</v>
      </c>
      <c r="B1272" s="16">
        <v>1.1</v>
      </c>
      <c r="C1272" s="16">
        <v>1.1</v>
      </c>
      <c r="D1272" s="16"/>
      <c r="E1272" s="16"/>
      <c r="F1272" s="50"/>
      <c r="G1272" s="50"/>
      <c r="H1272" s="42"/>
      <c r="I1272" s="307"/>
      <c r="J1272" s="306"/>
      <c r="L1272" s="35" t="s">
        <v>87</v>
      </c>
      <c r="M1272" s="103">
        <f>B1271+B1325+B1285</f>
        <v>34</v>
      </c>
    </row>
    <row r="1273" spans="1:13" ht="24.75" customHeight="1">
      <c r="A1273" s="115" t="s">
        <v>13</v>
      </c>
      <c r="B1273" s="16">
        <v>5</v>
      </c>
      <c r="C1273" s="16">
        <v>5</v>
      </c>
      <c r="D1273" s="16"/>
      <c r="E1273" s="50"/>
      <c r="F1273" s="50"/>
      <c r="G1273" s="50"/>
      <c r="H1273" s="42"/>
      <c r="I1273" s="307"/>
      <c r="J1273" s="306"/>
      <c r="L1273" s="240" t="s">
        <v>207</v>
      </c>
      <c r="M1273" s="106">
        <f>B1358</f>
        <v>10</v>
      </c>
    </row>
    <row r="1274" spans="1:13" ht="24.75" customHeight="1">
      <c r="A1274" s="468" t="s">
        <v>534</v>
      </c>
      <c r="B1274" s="468"/>
      <c r="C1274" s="468"/>
      <c r="D1274" s="41">
        <v>70</v>
      </c>
      <c r="E1274" s="145">
        <v>8.2</v>
      </c>
      <c r="F1274" s="145">
        <v>7.6</v>
      </c>
      <c r="G1274" s="145">
        <v>1.6</v>
      </c>
      <c r="H1274" s="152">
        <f>E1274*4+F1274*9+G1274*4</f>
        <v>107.6</v>
      </c>
      <c r="I1274" s="306">
        <v>0.10500000000000001</v>
      </c>
      <c r="J1274" s="306" t="s">
        <v>351</v>
      </c>
      <c r="L1274" s="35" t="s">
        <v>128</v>
      </c>
      <c r="M1274" s="103"/>
    </row>
    <row r="1275" spans="1:13" ht="24.75" customHeight="1">
      <c r="A1275" s="115" t="s">
        <v>29</v>
      </c>
      <c r="B1275" s="42">
        <v>53.333333333333336</v>
      </c>
      <c r="C1275" s="42">
        <v>53.333333333333336</v>
      </c>
      <c r="D1275" s="42"/>
      <c r="E1275" s="42"/>
      <c r="F1275" s="161"/>
      <c r="G1275" s="161"/>
      <c r="H1275" s="142"/>
      <c r="I1275" s="306"/>
      <c r="J1275" s="306"/>
      <c r="L1275" s="35" t="s">
        <v>88</v>
      </c>
      <c r="M1275" s="103">
        <f>B1357</f>
        <v>1</v>
      </c>
    </row>
    <row r="1276" spans="1:13" ht="24.75" customHeight="1">
      <c r="A1276" s="115" t="s">
        <v>149</v>
      </c>
      <c r="B1276" s="42">
        <v>20</v>
      </c>
      <c r="C1276" s="42">
        <v>20</v>
      </c>
      <c r="D1276" s="42"/>
      <c r="E1276" s="42"/>
      <c r="F1276" s="42"/>
      <c r="G1276" s="42"/>
      <c r="H1276" s="42"/>
      <c r="I1276" s="307"/>
      <c r="J1276" s="306"/>
      <c r="L1276" s="35" t="s">
        <v>137</v>
      </c>
      <c r="M1276" s="103">
        <f>B1310</f>
        <v>93.22</v>
      </c>
    </row>
    <row r="1277" spans="1:12" ht="24.75" customHeight="1">
      <c r="A1277" s="115" t="s">
        <v>27</v>
      </c>
      <c r="B1277" s="16">
        <v>1.5</v>
      </c>
      <c r="C1277" s="16">
        <v>1.5</v>
      </c>
      <c r="D1277" s="42"/>
      <c r="E1277" s="42"/>
      <c r="F1277" s="50"/>
      <c r="G1277" s="50"/>
      <c r="H1277" s="42"/>
      <c r="I1277" s="307"/>
      <c r="J1277" s="306"/>
      <c r="L1277" s="240" t="s">
        <v>208</v>
      </c>
    </row>
    <row r="1278" spans="1:13" ht="24.75" customHeight="1">
      <c r="A1278" s="468" t="s">
        <v>387</v>
      </c>
      <c r="B1278" s="468"/>
      <c r="C1278" s="468"/>
      <c r="D1278" s="80" t="s">
        <v>386</v>
      </c>
      <c r="E1278" s="145">
        <v>3</v>
      </c>
      <c r="F1278" s="145">
        <v>4</v>
      </c>
      <c r="G1278" s="145">
        <v>10.2</v>
      </c>
      <c r="H1278" s="152">
        <f>E1278*4+F1278*9+G1278*4</f>
        <v>88.8</v>
      </c>
      <c r="I1278" s="306">
        <v>3.7</v>
      </c>
      <c r="J1278" s="306" t="s">
        <v>388</v>
      </c>
      <c r="L1278" s="35" t="s">
        <v>89</v>
      </c>
      <c r="M1278" s="103">
        <f>B1337</f>
        <v>103.95</v>
      </c>
    </row>
    <row r="1279" spans="1:13" ht="24.75" customHeight="1">
      <c r="A1279" s="115" t="s">
        <v>36</v>
      </c>
      <c r="B1279" s="16">
        <v>20</v>
      </c>
      <c r="C1279" s="16">
        <v>20</v>
      </c>
      <c r="D1279" s="16"/>
      <c r="E1279" s="161"/>
      <c r="F1279" s="161"/>
      <c r="G1279" s="161"/>
      <c r="H1279" s="142"/>
      <c r="I1279" s="306"/>
      <c r="J1279" s="306"/>
      <c r="L1279" s="35" t="s">
        <v>130</v>
      </c>
      <c r="M1279" s="103">
        <f>B1280</f>
        <v>10.5</v>
      </c>
    </row>
    <row r="1280" spans="1:13" ht="24.75" customHeight="1">
      <c r="A1280" s="115" t="s">
        <v>332</v>
      </c>
      <c r="B1280" s="16">
        <v>10.5</v>
      </c>
      <c r="C1280" s="16">
        <v>10</v>
      </c>
      <c r="D1280" s="16"/>
      <c r="E1280" s="50"/>
      <c r="F1280" s="50"/>
      <c r="G1280" s="50"/>
      <c r="H1280" s="50"/>
      <c r="I1280" s="50"/>
      <c r="J1280" s="50"/>
      <c r="L1280" s="36" t="s">
        <v>131</v>
      </c>
      <c r="M1280" s="103">
        <f>B1269+B1276+B1286+B1306</f>
        <v>189</v>
      </c>
    </row>
    <row r="1281" spans="1:13" ht="24.75" customHeight="1">
      <c r="A1281" s="115" t="s">
        <v>385</v>
      </c>
      <c r="B1281" s="50">
        <f>1.02*C1281</f>
        <v>15.3</v>
      </c>
      <c r="C1281" s="16">
        <v>15</v>
      </c>
      <c r="D1281" s="16"/>
      <c r="E1281" s="50"/>
      <c r="F1281" s="50"/>
      <c r="G1281" s="50"/>
      <c r="H1281" s="42"/>
      <c r="I1281" s="307"/>
      <c r="J1281" s="306"/>
      <c r="L1281" s="39" t="s">
        <v>331</v>
      </c>
      <c r="M1281" s="106">
        <f>B1362</f>
        <v>154</v>
      </c>
    </row>
    <row r="1282" spans="1:13" ht="24.75" customHeight="1">
      <c r="A1282" s="115" t="s">
        <v>227</v>
      </c>
      <c r="B1282" s="50">
        <f>1.18*C1282</f>
        <v>17.7</v>
      </c>
      <c r="C1282" s="16">
        <v>15</v>
      </c>
      <c r="D1282" s="16"/>
      <c r="E1282" s="50"/>
      <c r="F1282" s="50"/>
      <c r="G1282" s="50"/>
      <c r="H1282" s="42"/>
      <c r="I1282" s="307"/>
      <c r="J1282" s="306"/>
      <c r="L1282" s="35" t="s">
        <v>90</v>
      </c>
      <c r="M1282" s="103"/>
    </row>
    <row r="1283" spans="1:13" ht="24.75" customHeight="1">
      <c r="A1283" s="514" t="s">
        <v>14</v>
      </c>
      <c r="B1283" s="515"/>
      <c r="C1283" s="516"/>
      <c r="D1283" s="51">
        <v>200</v>
      </c>
      <c r="E1283" s="52">
        <v>0.2</v>
      </c>
      <c r="F1283" s="52">
        <v>0</v>
      </c>
      <c r="G1283" s="52">
        <v>15.3</v>
      </c>
      <c r="H1283" s="45">
        <v>58</v>
      </c>
      <c r="I1283" s="306">
        <v>3.7</v>
      </c>
      <c r="J1283" s="316" t="s">
        <v>348</v>
      </c>
      <c r="L1283" s="35" t="s">
        <v>91</v>
      </c>
      <c r="M1283" s="103">
        <f>B1315</f>
        <v>6</v>
      </c>
    </row>
    <row r="1284" spans="1:13" ht="24.75" customHeight="1">
      <c r="A1284" s="366" t="s">
        <v>558</v>
      </c>
      <c r="B1284" s="48">
        <v>0.4</v>
      </c>
      <c r="C1284" s="48">
        <v>0.4</v>
      </c>
      <c r="D1284" s="48"/>
      <c r="E1284" s="50"/>
      <c r="F1284" s="50"/>
      <c r="G1284" s="50"/>
      <c r="H1284" s="42"/>
      <c r="I1284" s="365"/>
      <c r="J1284" s="365"/>
      <c r="L1284" s="35" t="s">
        <v>134</v>
      </c>
      <c r="M1284" s="103"/>
    </row>
    <row r="1285" spans="1:13" ht="30.75" customHeight="1">
      <c r="A1285" s="114" t="s">
        <v>12</v>
      </c>
      <c r="B1285" s="48">
        <v>15</v>
      </c>
      <c r="C1285" s="48">
        <v>15</v>
      </c>
      <c r="D1285" s="16"/>
      <c r="E1285" s="50"/>
      <c r="F1285" s="50"/>
      <c r="G1285" s="50"/>
      <c r="H1285" s="42"/>
      <c r="I1285" s="365"/>
      <c r="J1285" s="365"/>
      <c r="L1285" s="35" t="s">
        <v>92</v>
      </c>
      <c r="M1285" s="102">
        <f>B1273+B1305+B1321+B1277</f>
        <v>17.5</v>
      </c>
    </row>
    <row r="1286" spans="1:13" ht="24.75" customHeight="1">
      <c r="A1286" s="115" t="s">
        <v>17</v>
      </c>
      <c r="B1286" s="48">
        <v>6</v>
      </c>
      <c r="C1286" s="48">
        <v>5</v>
      </c>
      <c r="D1286" s="16"/>
      <c r="E1286" s="50"/>
      <c r="F1286" s="50"/>
      <c r="G1286" s="50"/>
      <c r="H1286" s="42"/>
      <c r="I1286" s="365"/>
      <c r="J1286" s="365"/>
      <c r="L1286" s="35" t="s">
        <v>65</v>
      </c>
      <c r="M1286" s="102">
        <f>B1294+B1343+B1355+B1311</f>
        <v>20</v>
      </c>
    </row>
    <row r="1287" spans="1:13" ht="24.75" customHeight="1" thickBot="1">
      <c r="A1287" s="466" t="s">
        <v>151</v>
      </c>
      <c r="B1287" s="466"/>
      <c r="C1287" s="466"/>
      <c r="D1287" s="466"/>
      <c r="E1287" s="466"/>
      <c r="F1287" s="466"/>
      <c r="G1287" s="466"/>
      <c r="H1287" s="466"/>
      <c r="I1287" s="466"/>
      <c r="J1287" s="466"/>
      <c r="L1287" s="37" t="s">
        <v>93</v>
      </c>
      <c r="M1287" s="102">
        <f>B1275+B1341+D1333</f>
        <v>96.93333333333334</v>
      </c>
    </row>
    <row r="1288" spans="1:13" ht="24.75" customHeight="1">
      <c r="A1288" s="472" t="s">
        <v>345</v>
      </c>
      <c r="B1288" s="472"/>
      <c r="C1288" s="472"/>
      <c r="D1288" s="143">
        <v>180</v>
      </c>
      <c r="E1288" s="145">
        <v>0.4</v>
      </c>
      <c r="F1288" s="144">
        <v>0</v>
      </c>
      <c r="G1288" s="145">
        <v>18</v>
      </c>
      <c r="H1288" s="152">
        <f>E1288*4+F1288*9+G1288*4</f>
        <v>73.6</v>
      </c>
      <c r="I1288" s="306">
        <v>12</v>
      </c>
      <c r="J1288" s="306"/>
      <c r="L1288" s="241" t="s">
        <v>209</v>
      </c>
      <c r="M1288" s="106">
        <f>B1324</f>
        <v>7</v>
      </c>
    </row>
    <row r="1289" spans="1:13" ht="24.75" customHeight="1">
      <c r="A1289" s="466" t="s">
        <v>18</v>
      </c>
      <c r="B1289" s="466"/>
      <c r="C1289" s="466"/>
      <c r="D1289" s="466"/>
      <c r="E1289" s="116">
        <f>SUM(E1290:E1327)</f>
        <v>25.245578947368422</v>
      </c>
      <c r="F1289" s="116">
        <f>SUM(F1290:F1327)</f>
        <v>28.760000000000005</v>
      </c>
      <c r="G1289" s="116">
        <f>SUM(G1290:G1327)</f>
        <v>123.01</v>
      </c>
      <c r="H1289" s="116">
        <f>SUM(H1290:H1327)</f>
        <v>864.1223157894736</v>
      </c>
      <c r="I1289" s="116">
        <f>SUM(I1290:I1327)</f>
        <v>16.617142857142856</v>
      </c>
      <c r="J1289" s="159"/>
      <c r="L1289" s="245" t="s">
        <v>219</v>
      </c>
      <c r="M1289" s="256"/>
    </row>
    <row r="1290" spans="1:10" ht="24.75" customHeight="1">
      <c r="A1290" s="126" t="s">
        <v>139</v>
      </c>
      <c r="B1290" s="95"/>
      <c r="C1290" s="95"/>
      <c r="D1290" s="95">
        <v>70</v>
      </c>
      <c r="E1290" s="96">
        <v>0.41557894736842105</v>
      </c>
      <c r="F1290" s="96">
        <v>4</v>
      </c>
      <c r="G1290" s="96">
        <v>5.670000000000001</v>
      </c>
      <c r="H1290" s="45">
        <f>E1290*4+F1290*9+G1290*4</f>
        <v>60.34231578947369</v>
      </c>
      <c r="I1290" s="307">
        <v>8.575</v>
      </c>
      <c r="J1290" s="306" t="s">
        <v>419</v>
      </c>
    </row>
    <row r="1291" spans="1:10" ht="24.75" customHeight="1">
      <c r="A1291" s="184" t="s">
        <v>163</v>
      </c>
      <c r="B1291" s="187">
        <f>C1291*1.02</f>
        <v>59.160000000000004</v>
      </c>
      <c r="C1291" s="183">
        <v>58</v>
      </c>
      <c r="D1291" s="187"/>
      <c r="E1291" s="188"/>
      <c r="F1291" s="188"/>
      <c r="G1291" s="188"/>
      <c r="H1291" s="187"/>
      <c r="I1291" s="317"/>
      <c r="J1291" s="317"/>
    </row>
    <row r="1292" spans="1:10" ht="24.75" customHeight="1">
      <c r="A1292" s="123" t="s">
        <v>226</v>
      </c>
      <c r="B1292" s="94">
        <f>C1292*1.05</f>
        <v>60.900000000000006</v>
      </c>
      <c r="C1292" s="199">
        <v>58</v>
      </c>
      <c r="D1292" s="201"/>
      <c r="E1292" s="200"/>
      <c r="F1292" s="200"/>
      <c r="G1292" s="200"/>
      <c r="H1292" s="201"/>
      <c r="I1292" s="309"/>
      <c r="J1292" s="317"/>
    </row>
    <row r="1293" spans="1:10" ht="18.75" customHeight="1">
      <c r="A1293" s="202" t="s">
        <v>225</v>
      </c>
      <c r="B1293" s="140">
        <f>C1293*1.25</f>
        <v>13.75</v>
      </c>
      <c r="C1293" s="201">
        <v>11</v>
      </c>
      <c r="D1293" s="201"/>
      <c r="E1293" s="200"/>
      <c r="F1293" s="200"/>
      <c r="G1293" s="200"/>
      <c r="H1293" s="201"/>
      <c r="I1293" s="309"/>
      <c r="J1293" s="317"/>
    </row>
    <row r="1294" spans="1:10" ht="18.75" customHeight="1">
      <c r="A1294" s="182" t="s">
        <v>20</v>
      </c>
      <c r="B1294" s="91">
        <v>4</v>
      </c>
      <c r="C1294" s="91">
        <v>4</v>
      </c>
      <c r="D1294" s="201"/>
      <c r="E1294" s="200"/>
      <c r="F1294" s="200"/>
      <c r="G1294" s="200"/>
      <c r="H1294" s="201"/>
      <c r="I1294" s="309"/>
      <c r="J1294" s="317"/>
    </row>
    <row r="1295" spans="1:10" ht="24.75" customHeight="1">
      <c r="A1295" s="481" t="s">
        <v>487</v>
      </c>
      <c r="B1295" s="481"/>
      <c r="C1295" s="481"/>
      <c r="D1295" s="95" t="s">
        <v>494</v>
      </c>
      <c r="E1295" s="145">
        <v>6.27</v>
      </c>
      <c r="F1295" s="145">
        <v>10.34</v>
      </c>
      <c r="G1295" s="145">
        <v>37.4</v>
      </c>
      <c r="H1295" s="152">
        <v>280</v>
      </c>
      <c r="I1295" s="306">
        <v>6.507142857142857</v>
      </c>
      <c r="J1295" s="306" t="s">
        <v>381</v>
      </c>
    </row>
    <row r="1296" spans="1:10" ht="24.75" customHeight="1">
      <c r="A1296" s="157" t="s">
        <v>52</v>
      </c>
      <c r="B1296" s="157">
        <v>16</v>
      </c>
      <c r="C1296" s="157">
        <v>14</v>
      </c>
      <c r="D1296" s="95"/>
      <c r="E1296" s="145"/>
      <c r="F1296" s="145"/>
      <c r="G1296" s="145"/>
      <c r="H1296" s="152"/>
      <c r="I1296" s="306"/>
      <c r="J1296" s="306"/>
    </row>
    <row r="1297" spans="1:10" ht="24.75" customHeight="1">
      <c r="A1297" s="184" t="s">
        <v>21</v>
      </c>
      <c r="B1297" s="187">
        <f>C1297*1.33</f>
        <v>139.65</v>
      </c>
      <c r="C1297" s="187">
        <v>105</v>
      </c>
      <c r="D1297" s="183"/>
      <c r="E1297" s="188"/>
      <c r="F1297" s="188"/>
      <c r="G1297" s="188"/>
      <c r="H1297" s="187"/>
      <c r="I1297" s="317"/>
      <c r="J1297" s="317"/>
    </row>
    <row r="1298" spans="1:10" ht="24.75" customHeight="1">
      <c r="A1298" s="202" t="s">
        <v>22</v>
      </c>
      <c r="B1298" s="94">
        <f>C1298*1.43</f>
        <v>150.15</v>
      </c>
      <c r="C1298" s="187">
        <v>105</v>
      </c>
      <c r="D1298" s="199"/>
      <c r="E1298" s="200"/>
      <c r="F1298" s="200"/>
      <c r="G1298" s="200"/>
      <c r="H1298" s="201"/>
      <c r="I1298" s="309"/>
      <c r="J1298" s="317"/>
    </row>
    <row r="1299" spans="1:10" ht="24.75" customHeight="1">
      <c r="A1299" s="123" t="s">
        <v>23</v>
      </c>
      <c r="B1299" s="94">
        <f>C1299*1.54</f>
        <v>161.70000000000002</v>
      </c>
      <c r="C1299" s="187">
        <v>105</v>
      </c>
      <c r="D1299" s="199"/>
      <c r="E1299" s="200"/>
      <c r="F1299" s="200"/>
      <c r="G1299" s="200"/>
      <c r="H1299" s="201"/>
      <c r="I1299" s="309"/>
      <c r="J1299" s="317"/>
    </row>
    <row r="1300" spans="1:10" ht="24.75" customHeight="1">
      <c r="A1300" s="123" t="s">
        <v>24</v>
      </c>
      <c r="B1300" s="94">
        <f>C1300*1.67</f>
        <v>175.35</v>
      </c>
      <c r="C1300" s="187">
        <v>105</v>
      </c>
      <c r="D1300" s="199"/>
      <c r="E1300" s="200"/>
      <c r="F1300" s="200"/>
      <c r="G1300" s="200"/>
      <c r="H1300" s="201"/>
      <c r="I1300" s="309"/>
      <c r="J1300" s="317"/>
    </row>
    <row r="1301" spans="1:10" ht="24.75" customHeight="1">
      <c r="A1301" s="202" t="s">
        <v>25</v>
      </c>
      <c r="B1301" s="140">
        <f>C1301*1.25</f>
        <v>6.25</v>
      </c>
      <c r="C1301" s="201">
        <v>5</v>
      </c>
      <c r="D1301" s="199"/>
      <c r="E1301" s="200"/>
      <c r="F1301" s="200"/>
      <c r="G1301" s="200"/>
      <c r="H1301" s="201"/>
      <c r="I1301" s="309"/>
      <c r="J1301" s="317"/>
    </row>
    <row r="1302" spans="1:10" ht="24.75" customHeight="1">
      <c r="A1302" s="202" t="s">
        <v>19</v>
      </c>
      <c r="B1302" s="140">
        <f>C1302*1.33</f>
        <v>6.65</v>
      </c>
      <c r="C1302" s="201">
        <v>5</v>
      </c>
      <c r="D1302" s="199"/>
      <c r="E1302" s="200"/>
      <c r="F1302" s="200"/>
      <c r="G1302" s="200"/>
      <c r="H1302" s="201"/>
      <c r="I1302" s="309"/>
      <c r="J1302" s="317"/>
    </row>
    <row r="1303" spans="1:10" ht="24.75" customHeight="1">
      <c r="A1303" s="202" t="s">
        <v>26</v>
      </c>
      <c r="B1303" s="94">
        <f>C1303*1.19</f>
        <v>11.899999999999999</v>
      </c>
      <c r="C1303" s="201">
        <v>10</v>
      </c>
      <c r="D1303" s="199"/>
      <c r="E1303" s="200"/>
      <c r="F1303" s="200"/>
      <c r="G1303" s="200"/>
      <c r="H1303" s="201"/>
      <c r="I1303" s="309"/>
      <c r="J1303" s="317"/>
    </row>
    <row r="1304" spans="1:10" ht="21" customHeight="1">
      <c r="A1304" s="202" t="s">
        <v>28</v>
      </c>
      <c r="B1304" s="201">
        <v>5</v>
      </c>
      <c r="C1304" s="201">
        <v>5</v>
      </c>
      <c r="D1304" s="199"/>
      <c r="E1304" s="200"/>
      <c r="F1304" s="200"/>
      <c r="G1304" s="200"/>
      <c r="H1304" s="201"/>
      <c r="I1304" s="309"/>
      <c r="J1304" s="317"/>
    </row>
    <row r="1305" spans="1:10" ht="24.75" customHeight="1">
      <c r="A1305" s="202" t="s">
        <v>27</v>
      </c>
      <c r="B1305" s="201">
        <v>6</v>
      </c>
      <c r="C1305" s="201">
        <v>6</v>
      </c>
      <c r="D1305" s="199"/>
      <c r="E1305" s="200"/>
      <c r="F1305" s="200"/>
      <c r="G1305" s="200"/>
      <c r="H1305" s="201"/>
      <c r="I1305" s="309"/>
      <c r="J1305" s="317"/>
    </row>
    <row r="1306" spans="1:10" ht="18.75" customHeight="1">
      <c r="A1306" s="182" t="s">
        <v>149</v>
      </c>
      <c r="B1306" s="201">
        <v>39</v>
      </c>
      <c r="C1306" s="201">
        <v>38.75</v>
      </c>
      <c r="D1306" s="199"/>
      <c r="E1306" s="200"/>
      <c r="F1306" s="200"/>
      <c r="G1306" s="200"/>
      <c r="H1306" s="201"/>
      <c r="I1306" s="309"/>
      <c r="J1306" s="317"/>
    </row>
    <row r="1307" spans="1:10" ht="24.75" customHeight="1">
      <c r="A1307" s="123" t="s">
        <v>36</v>
      </c>
      <c r="B1307" s="199">
        <v>19</v>
      </c>
      <c r="C1307" s="199">
        <v>16</v>
      </c>
      <c r="D1307" s="199"/>
      <c r="E1307" s="200"/>
      <c r="F1307" s="200"/>
      <c r="G1307" s="200"/>
      <c r="H1307" s="201"/>
      <c r="I1307" s="309"/>
      <c r="J1307" s="317"/>
    </row>
    <row r="1308" spans="1:10" ht="24.75" customHeight="1">
      <c r="A1308" s="49" t="s">
        <v>276</v>
      </c>
      <c r="B1308" s="49"/>
      <c r="C1308" s="49"/>
      <c r="D1308" s="41">
        <v>90</v>
      </c>
      <c r="E1308" s="44">
        <v>9</v>
      </c>
      <c r="F1308" s="44">
        <v>10</v>
      </c>
      <c r="G1308" s="44">
        <v>5.040000000000001</v>
      </c>
      <c r="H1308" s="45">
        <f>E1308*4+F1308*9+G1308*4</f>
        <v>146.16</v>
      </c>
      <c r="I1308" s="307">
        <v>0.135</v>
      </c>
      <c r="J1308" s="306" t="s">
        <v>465</v>
      </c>
    </row>
    <row r="1309" spans="1:10" ht="24.75" customHeight="1">
      <c r="A1309" s="195" t="s">
        <v>62</v>
      </c>
      <c r="B1309" s="196">
        <f>C1309*1.36</f>
        <v>107.44000000000001</v>
      </c>
      <c r="C1309" s="187">
        <v>79</v>
      </c>
      <c r="D1309" s="193"/>
      <c r="E1309" s="191"/>
      <c r="F1309" s="192"/>
      <c r="G1309" s="192"/>
      <c r="H1309" s="193"/>
      <c r="I1309" s="321"/>
      <c r="J1309" s="319"/>
    </row>
    <row r="1310" spans="1:24" ht="24.75" customHeight="1">
      <c r="A1310" s="117" t="s">
        <v>74</v>
      </c>
      <c r="B1310" s="219">
        <f>C1310*1.18</f>
        <v>93.22</v>
      </c>
      <c r="C1310" s="187">
        <v>79</v>
      </c>
      <c r="D1310" s="193"/>
      <c r="E1310" s="191"/>
      <c r="F1310" s="191"/>
      <c r="G1310" s="191"/>
      <c r="H1310" s="94"/>
      <c r="I1310" s="316"/>
      <c r="J1310" s="317"/>
      <c r="N1310" s="165"/>
      <c r="O1310" s="165"/>
      <c r="P1310" s="165"/>
      <c r="Q1310" s="165"/>
      <c r="R1310" s="165"/>
      <c r="S1310" s="165"/>
      <c r="T1310" s="165"/>
      <c r="U1310" s="165"/>
      <c r="V1310" s="165"/>
      <c r="W1310" s="165"/>
      <c r="X1310" s="165"/>
    </row>
    <row r="1311" spans="1:10" ht="24.75" customHeight="1">
      <c r="A1311" s="182" t="s">
        <v>20</v>
      </c>
      <c r="B1311" s="91">
        <v>5</v>
      </c>
      <c r="C1311" s="187">
        <v>5</v>
      </c>
      <c r="D1311" s="193"/>
      <c r="E1311" s="191"/>
      <c r="F1311" s="191"/>
      <c r="G1311" s="191"/>
      <c r="H1311" s="94"/>
      <c r="I1311" s="316"/>
      <c r="J1311" s="317"/>
    </row>
    <row r="1312" spans="1:10" ht="24.75" customHeight="1">
      <c r="A1312" s="123" t="s">
        <v>26</v>
      </c>
      <c r="B1312" s="94">
        <f>C1312*1.19</f>
        <v>8.33</v>
      </c>
      <c r="C1312" s="94">
        <v>7</v>
      </c>
      <c r="D1312" s="193"/>
      <c r="E1312" s="191"/>
      <c r="F1312" s="140"/>
      <c r="G1312" s="140"/>
      <c r="H1312" s="94"/>
      <c r="I1312" s="316"/>
      <c r="J1312" s="317"/>
    </row>
    <row r="1313" spans="1:10" ht="24.75" customHeight="1">
      <c r="A1313" s="123" t="s">
        <v>25</v>
      </c>
      <c r="B1313" s="140">
        <f>C1313*1.25</f>
        <v>7.500000000000001</v>
      </c>
      <c r="C1313" s="94">
        <v>6.000000000000001</v>
      </c>
      <c r="D1313" s="193"/>
      <c r="E1313" s="191"/>
      <c r="F1313" s="140"/>
      <c r="G1313" s="140"/>
      <c r="H1313" s="94"/>
      <c r="I1313" s="316"/>
      <c r="J1313" s="317"/>
    </row>
    <row r="1314" spans="1:10" ht="24.75" customHeight="1">
      <c r="A1314" s="123" t="s">
        <v>19</v>
      </c>
      <c r="B1314" s="94">
        <f>C1314*1.33</f>
        <v>7.980000000000001</v>
      </c>
      <c r="C1314" s="94">
        <v>6.000000000000001</v>
      </c>
      <c r="D1314" s="193"/>
      <c r="E1314" s="191"/>
      <c r="F1314" s="50"/>
      <c r="G1314" s="140"/>
      <c r="H1314" s="94"/>
      <c r="I1314" s="316"/>
      <c r="J1314" s="317"/>
    </row>
    <row r="1315" spans="1:10" ht="17.25" customHeight="1">
      <c r="A1315" s="115" t="s">
        <v>95</v>
      </c>
      <c r="B1315" s="94">
        <v>6</v>
      </c>
      <c r="C1315" s="94">
        <v>6</v>
      </c>
      <c r="D1315" s="193"/>
      <c r="E1315" s="191"/>
      <c r="F1315" s="140"/>
      <c r="G1315" s="140"/>
      <c r="H1315" s="94"/>
      <c r="I1315" s="316"/>
      <c r="J1315" s="317"/>
    </row>
    <row r="1316" spans="1:10" ht="18.75" customHeight="1">
      <c r="A1316" s="123" t="s">
        <v>28</v>
      </c>
      <c r="B1316" s="140">
        <v>1.8</v>
      </c>
      <c r="C1316" s="140">
        <v>1.8</v>
      </c>
      <c r="D1316" s="193"/>
      <c r="E1316" s="191"/>
      <c r="F1316" s="140"/>
      <c r="G1316" s="140"/>
      <c r="H1316" s="94"/>
      <c r="I1316" s="316"/>
      <c r="J1316" s="317"/>
    </row>
    <row r="1317" spans="1:10" ht="18.75" customHeight="1">
      <c r="A1317" s="123" t="s">
        <v>70</v>
      </c>
      <c r="B1317" s="94">
        <f>C1317*1.35</f>
        <v>2.7</v>
      </c>
      <c r="C1317" s="94">
        <v>2</v>
      </c>
      <c r="D1317" s="193"/>
      <c r="E1317" s="191"/>
      <c r="F1317" s="140"/>
      <c r="G1317" s="140"/>
      <c r="H1317" s="94"/>
      <c r="I1317" s="316"/>
      <c r="J1317" s="317"/>
    </row>
    <row r="1318" spans="1:10" ht="24.75" customHeight="1">
      <c r="A1318" s="468" t="s">
        <v>339</v>
      </c>
      <c r="B1318" s="468"/>
      <c r="C1318" s="468"/>
      <c r="D1318" s="41">
        <v>150</v>
      </c>
      <c r="E1318" s="44">
        <v>3.6</v>
      </c>
      <c r="F1318" s="44">
        <v>3.3</v>
      </c>
      <c r="G1318" s="44">
        <v>25</v>
      </c>
      <c r="H1318" s="45">
        <f>E1318*4+F1318*9+G1318*4</f>
        <v>144.1</v>
      </c>
      <c r="I1318" s="307">
        <v>0</v>
      </c>
      <c r="J1318" s="306" t="s">
        <v>508</v>
      </c>
    </row>
    <row r="1319" spans="1:10" ht="18.75" customHeight="1">
      <c r="A1319" s="115" t="s">
        <v>112</v>
      </c>
      <c r="B1319" s="140">
        <v>37.5</v>
      </c>
      <c r="C1319" s="140">
        <v>37.5</v>
      </c>
      <c r="D1319" s="94"/>
      <c r="E1319" s="112"/>
      <c r="F1319" s="112"/>
      <c r="G1319" s="112"/>
      <c r="H1319" s="94"/>
      <c r="I1319" s="316"/>
      <c r="J1319" s="317"/>
    </row>
    <row r="1320" spans="1:10" ht="15" customHeight="1">
      <c r="A1320" s="115" t="s">
        <v>110</v>
      </c>
      <c r="B1320" s="94">
        <v>120</v>
      </c>
      <c r="C1320" s="94">
        <v>120</v>
      </c>
      <c r="D1320" s="94"/>
      <c r="E1320" s="112"/>
      <c r="F1320" s="112"/>
      <c r="G1320" s="112"/>
      <c r="H1320" s="94"/>
      <c r="I1320" s="316"/>
      <c r="J1320" s="317"/>
    </row>
    <row r="1321" spans="1:10" ht="24.75" customHeight="1">
      <c r="A1321" s="184" t="s">
        <v>27</v>
      </c>
      <c r="B1321" s="183">
        <v>5</v>
      </c>
      <c r="C1321" s="183">
        <v>5</v>
      </c>
      <c r="D1321" s="188"/>
      <c r="E1321" s="183"/>
      <c r="F1321" s="183"/>
      <c r="G1321" s="183"/>
      <c r="H1321" s="187"/>
      <c r="I1321" s="317"/>
      <c r="J1321" s="317"/>
    </row>
    <row r="1322" spans="1:10" ht="24.75" customHeight="1">
      <c r="A1322" s="454" t="s">
        <v>190</v>
      </c>
      <c r="B1322" s="454"/>
      <c r="C1322" s="454"/>
      <c r="D1322" s="143">
        <v>200</v>
      </c>
      <c r="E1322" s="144">
        <v>0.2</v>
      </c>
      <c r="F1322" s="144">
        <v>0.1</v>
      </c>
      <c r="G1322" s="144">
        <v>21.8</v>
      </c>
      <c r="H1322" s="152">
        <f>E1322*4+F1322*9+G1322*4</f>
        <v>88.9</v>
      </c>
      <c r="I1322" s="306">
        <v>1.4</v>
      </c>
      <c r="J1322" s="306" t="s">
        <v>361</v>
      </c>
    </row>
    <row r="1323" spans="1:24" s="165" customFormat="1" ht="24.75" customHeight="1">
      <c r="A1323" s="123" t="s">
        <v>201</v>
      </c>
      <c r="B1323" s="94">
        <v>25.3</v>
      </c>
      <c r="C1323" s="112">
        <v>24</v>
      </c>
      <c r="D1323" s="112"/>
      <c r="E1323" s="112"/>
      <c r="F1323" s="140"/>
      <c r="G1323" s="140"/>
      <c r="H1323" s="94"/>
      <c r="I1323" s="316"/>
      <c r="J1323" s="317"/>
      <c r="K1323" s="246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</row>
    <row r="1324" spans="1:10" ht="24.75" customHeight="1">
      <c r="A1324" s="123" t="s">
        <v>191</v>
      </c>
      <c r="B1324" s="112">
        <v>7</v>
      </c>
      <c r="C1324" s="112">
        <v>7</v>
      </c>
      <c r="D1324" s="112"/>
      <c r="E1324" s="112"/>
      <c r="F1324" s="112"/>
      <c r="G1324" s="112"/>
      <c r="H1324" s="94"/>
      <c r="I1324" s="316"/>
      <c r="J1324" s="317"/>
    </row>
    <row r="1325" spans="1:10" ht="24.75" customHeight="1">
      <c r="A1325" s="184" t="s">
        <v>12</v>
      </c>
      <c r="B1325" s="183">
        <v>15</v>
      </c>
      <c r="C1325" s="183">
        <v>15</v>
      </c>
      <c r="D1325" s="183"/>
      <c r="E1325" s="183"/>
      <c r="F1325" s="183"/>
      <c r="G1325" s="183"/>
      <c r="H1325" s="183"/>
      <c r="I1325" s="183"/>
      <c r="J1325" s="183"/>
    </row>
    <row r="1326" spans="1:10" ht="19.5" customHeight="1">
      <c r="A1326" s="461" t="s">
        <v>258</v>
      </c>
      <c r="B1326" s="461"/>
      <c r="C1326" s="461"/>
      <c r="D1326" s="151">
        <v>30</v>
      </c>
      <c r="E1326" s="145">
        <v>2.46</v>
      </c>
      <c r="F1326" s="145">
        <v>0.42000000000000004</v>
      </c>
      <c r="G1326" s="145">
        <v>11.4</v>
      </c>
      <c r="H1326" s="152">
        <v>59.220000000000006</v>
      </c>
      <c r="I1326" s="306">
        <v>0</v>
      </c>
      <c r="J1326" s="306"/>
    </row>
    <row r="1327" spans="1:10" ht="24.75" customHeight="1">
      <c r="A1327" s="461" t="s">
        <v>72</v>
      </c>
      <c r="B1327" s="461"/>
      <c r="C1327" s="461"/>
      <c r="D1327" s="151">
        <v>50</v>
      </c>
      <c r="E1327" s="145">
        <v>3.3</v>
      </c>
      <c r="F1327" s="145">
        <v>0.6</v>
      </c>
      <c r="G1327" s="145">
        <v>16.7</v>
      </c>
      <c r="H1327" s="152">
        <v>85.39999999999999</v>
      </c>
      <c r="I1327" s="306">
        <v>0</v>
      </c>
      <c r="J1327" s="306"/>
    </row>
    <row r="1328" spans="1:10" ht="39.75" customHeight="1">
      <c r="A1328" s="466" t="s">
        <v>61</v>
      </c>
      <c r="B1328" s="466"/>
      <c r="C1328" s="466"/>
      <c r="D1328" s="466"/>
      <c r="E1328" s="128">
        <f>E1329+E1331</f>
        <v>1.6</v>
      </c>
      <c r="F1328" s="128">
        <f>F1329+F1331</f>
        <v>1.6</v>
      </c>
      <c r="G1328" s="128">
        <f>G1329+G1331</f>
        <v>68.6</v>
      </c>
      <c r="H1328" s="116">
        <f>H1329+H1331</f>
        <v>295.20000000000005</v>
      </c>
      <c r="I1328" s="128">
        <f>I1329+I1331</f>
        <v>19</v>
      </c>
      <c r="J1328" s="128"/>
    </row>
    <row r="1329" spans="1:10" ht="24.75" customHeight="1">
      <c r="A1329" s="462" t="s">
        <v>580</v>
      </c>
      <c r="B1329" s="462"/>
      <c r="C1329" s="462"/>
      <c r="D1329" s="143">
        <v>90</v>
      </c>
      <c r="E1329" s="144">
        <v>1.5</v>
      </c>
      <c r="F1329" s="144">
        <v>1.6</v>
      </c>
      <c r="G1329" s="144">
        <v>46.6</v>
      </c>
      <c r="H1329" s="152">
        <f>E1329*4+F1329*9+G1329*4</f>
        <v>206.8</v>
      </c>
      <c r="I1329" s="306">
        <v>0</v>
      </c>
      <c r="J1329" s="306"/>
    </row>
    <row r="1330" spans="1:10" ht="24.75" customHeight="1">
      <c r="A1330" s="463" t="s">
        <v>399</v>
      </c>
      <c r="B1330" s="464"/>
      <c r="C1330" s="465"/>
      <c r="D1330" s="143"/>
      <c r="E1330" s="54"/>
      <c r="F1330" s="54"/>
      <c r="G1330" s="54"/>
      <c r="H1330" s="45"/>
      <c r="I1330" s="307"/>
      <c r="J1330" s="306"/>
    </row>
    <row r="1331" spans="1:24" ht="24.75" customHeight="1">
      <c r="A1331" s="482" t="s">
        <v>504</v>
      </c>
      <c r="B1331" s="482"/>
      <c r="C1331" s="482"/>
      <c r="D1331" s="143">
        <v>200</v>
      </c>
      <c r="E1331" s="143">
        <v>0.1</v>
      </c>
      <c r="F1331" s="144">
        <v>0</v>
      </c>
      <c r="G1331" s="144">
        <v>22</v>
      </c>
      <c r="H1331" s="152">
        <f>E1331*4+F1331*9+G1331*4</f>
        <v>88.4</v>
      </c>
      <c r="I1331" s="317">
        <v>19</v>
      </c>
      <c r="J1331" s="317" t="s">
        <v>503</v>
      </c>
      <c r="N1331" s="165"/>
      <c r="O1331" s="165"/>
      <c r="P1331" s="165"/>
      <c r="Q1331" s="165"/>
      <c r="R1331" s="165"/>
      <c r="S1331" s="165"/>
      <c r="T1331" s="165"/>
      <c r="U1331" s="165"/>
      <c r="V1331" s="165"/>
      <c r="W1331" s="165"/>
      <c r="X1331" s="165"/>
    </row>
    <row r="1332" spans="1:10" ht="24.75" customHeight="1">
      <c r="A1332" s="466" t="s">
        <v>30</v>
      </c>
      <c r="B1332" s="466"/>
      <c r="C1332" s="466"/>
      <c r="D1332" s="466"/>
      <c r="E1332" s="128">
        <f>SUM(E1333:E1362)</f>
        <v>25.2</v>
      </c>
      <c r="F1332" s="128">
        <f>SUM(F1333:F1362)</f>
        <v>21.740000000000002</v>
      </c>
      <c r="G1332" s="128">
        <f>SUM(G1333:G1362)</f>
        <v>40.89</v>
      </c>
      <c r="H1332" s="116">
        <f>SUM(H1333:H1362)</f>
        <v>487.27000000000004</v>
      </c>
      <c r="I1332" s="128">
        <f>SUM(I1333:I1362)</f>
        <v>8.043076923076923</v>
      </c>
      <c r="J1332" s="128"/>
    </row>
    <row r="1333" spans="1:10" ht="24.75" customHeight="1">
      <c r="A1333" s="468" t="s">
        <v>279</v>
      </c>
      <c r="B1333" s="468"/>
      <c r="C1333" s="468"/>
      <c r="D1333" s="151">
        <v>40</v>
      </c>
      <c r="E1333" s="145">
        <v>4.78</v>
      </c>
      <c r="F1333" s="145">
        <v>4.05</v>
      </c>
      <c r="G1333" s="145">
        <v>0.25</v>
      </c>
      <c r="H1333" s="152">
        <v>56.5</v>
      </c>
      <c r="I1333" s="307">
        <v>0</v>
      </c>
      <c r="J1333" s="306" t="s">
        <v>466</v>
      </c>
    </row>
    <row r="1334" spans="1:10" ht="24.75" customHeight="1">
      <c r="A1334" s="468" t="s">
        <v>581</v>
      </c>
      <c r="B1334" s="468"/>
      <c r="C1334" s="468"/>
      <c r="D1334" s="41" t="s">
        <v>212</v>
      </c>
      <c r="E1334" s="44">
        <v>12.27</v>
      </c>
      <c r="F1334" s="44">
        <v>9</v>
      </c>
      <c r="G1334" s="44">
        <v>2.9</v>
      </c>
      <c r="H1334" s="120">
        <v>169</v>
      </c>
      <c r="I1334" s="314">
        <v>0.4230769230769231</v>
      </c>
      <c r="J1334" s="350" t="s">
        <v>348</v>
      </c>
    </row>
    <row r="1335" spans="1:10" ht="24.75" customHeight="1">
      <c r="A1335" s="203" t="s">
        <v>153</v>
      </c>
      <c r="B1335" s="23">
        <f>C1335*1.5</f>
        <v>115.5</v>
      </c>
      <c r="C1335" s="55">
        <v>77</v>
      </c>
      <c r="D1335" s="42"/>
      <c r="E1335" s="140"/>
      <c r="F1335" s="140"/>
      <c r="G1335" s="140"/>
      <c r="H1335" s="94"/>
      <c r="I1335" s="316"/>
      <c r="J1335" s="317"/>
    </row>
    <row r="1336" spans="1:10" ht="24.75" customHeight="1">
      <c r="A1336" s="203" t="s">
        <v>165</v>
      </c>
      <c r="B1336" s="23">
        <f>C1336*1.82</f>
        <v>140.14000000000001</v>
      </c>
      <c r="C1336" s="55">
        <v>77</v>
      </c>
      <c r="D1336" s="42"/>
      <c r="E1336" s="112"/>
      <c r="F1336" s="112"/>
      <c r="G1336" s="112"/>
      <c r="H1336" s="45"/>
      <c r="I1336" s="307"/>
      <c r="J1336" s="306"/>
    </row>
    <row r="1337" spans="1:10" ht="24.75" customHeight="1">
      <c r="A1337" s="203" t="s">
        <v>117</v>
      </c>
      <c r="B1337" s="23">
        <f>C1337*1.35</f>
        <v>103.95</v>
      </c>
      <c r="C1337" s="55">
        <v>77</v>
      </c>
      <c r="D1337" s="42"/>
      <c r="E1337" s="112"/>
      <c r="F1337" s="112"/>
      <c r="G1337" s="112"/>
      <c r="H1337" s="45"/>
      <c r="I1337" s="307"/>
      <c r="J1337" s="306"/>
    </row>
    <row r="1338" spans="1:10" ht="24.75" customHeight="1">
      <c r="A1338" s="123" t="s">
        <v>167</v>
      </c>
      <c r="B1338" s="94">
        <v>6</v>
      </c>
      <c r="C1338" s="55">
        <v>6</v>
      </c>
      <c r="D1338" s="42"/>
      <c r="E1338" s="112"/>
      <c r="F1338" s="44"/>
      <c r="G1338" s="44"/>
      <c r="H1338" s="45"/>
      <c r="I1338" s="307"/>
      <c r="J1338" s="306"/>
    </row>
    <row r="1339" spans="1:10" ht="24.75" customHeight="1">
      <c r="A1339" s="343" t="s">
        <v>582</v>
      </c>
      <c r="B1339" s="140">
        <v>23.8</v>
      </c>
      <c r="C1339" s="94">
        <v>20</v>
      </c>
      <c r="D1339" s="42"/>
      <c r="E1339" s="112"/>
      <c r="F1339" s="140"/>
      <c r="G1339" s="140"/>
      <c r="H1339" s="94"/>
      <c r="I1339" s="316"/>
      <c r="J1339" s="317"/>
    </row>
    <row r="1340" spans="1:10" ht="24.75" customHeight="1">
      <c r="A1340" s="343" t="s">
        <v>110</v>
      </c>
      <c r="B1340" s="94">
        <v>7</v>
      </c>
      <c r="C1340" s="94">
        <v>7</v>
      </c>
      <c r="D1340" s="42"/>
      <c r="E1340" s="112"/>
      <c r="F1340" s="140"/>
      <c r="G1340" s="140"/>
      <c r="H1340" s="94"/>
      <c r="I1340" s="316"/>
      <c r="J1340" s="317"/>
    </row>
    <row r="1341" spans="1:10" ht="24.75" customHeight="1">
      <c r="A1341" s="115" t="s">
        <v>29</v>
      </c>
      <c r="B1341" s="365">
        <v>3.6</v>
      </c>
      <c r="C1341" s="439">
        <v>3.6</v>
      </c>
      <c r="D1341" s="42"/>
      <c r="E1341" s="112"/>
      <c r="F1341" s="140"/>
      <c r="G1341" s="140"/>
      <c r="H1341" s="94"/>
      <c r="I1341" s="316"/>
      <c r="J1341" s="317"/>
    </row>
    <row r="1342" spans="1:10" ht="24.75" customHeight="1">
      <c r="A1342" s="343" t="s">
        <v>20</v>
      </c>
      <c r="B1342" s="94">
        <v>9</v>
      </c>
      <c r="C1342" s="55">
        <v>9</v>
      </c>
      <c r="D1342" s="42"/>
      <c r="E1342" s="112"/>
      <c r="F1342" s="140"/>
      <c r="G1342" s="140"/>
      <c r="H1342" s="94"/>
      <c r="I1342" s="316"/>
      <c r="J1342" s="317"/>
    </row>
    <row r="1343" spans="1:10" ht="24.75" customHeight="1">
      <c r="A1343" s="115" t="s">
        <v>27</v>
      </c>
      <c r="B1343" s="94">
        <v>5</v>
      </c>
      <c r="C1343" s="55">
        <v>5</v>
      </c>
      <c r="D1343" s="42"/>
      <c r="E1343" s="112"/>
      <c r="F1343" s="140"/>
      <c r="G1343" s="140"/>
      <c r="H1343" s="94"/>
      <c r="I1343" s="316"/>
      <c r="J1343" s="317"/>
    </row>
    <row r="1344" spans="1:24" s="165" customFormat="1" ht="24.75" customHeight="1">
      <c r="A1344" s="468" t="s">
        <v>438</v>
      </c>
      <c r="B1344" s="468"/>
      <c r="C1344" s="468"/>
      <c r="D1344" s="41">
        <v>150</v>
      </c>
      <c r="E1344" s="145">
        <v>2.5</v>
      </c>
      <c r="F1344" s="145">
        <v>4.7</v>
      </c>
      <c r="G1344" s="145">
        <v>13</v>
      </c>
      <c r="H1344" s="152">
        <f>E1344*4+F1344*9+G1344*4</f>
        <v>104.30000000000001</v>
      </c>
      <c r="I1344" s="151">
        <v>6.6</v>
      </c>
      <c r="J1344" s="41" t="s">
        <v>439</v>
      </c>
      <c r="K1344" s="246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</row>
    <row r="1345" spans="1:10" ht="24.75" customHeight="1">
      <c r="A1345" s="115" t="s">
        <v>25</v>
      </c>
      <c r="B1345" s="42">
        <f>C1345*1.25</f>
        <v>43.75</v>
      </c>
      <c r="C1345" s="16">
        <v>35</v>
      </c>
      <c r="D1345" s="16"/>
      <c r="E1345" s="50"/>
      <c r="F1345" s="50"/>
      <c r="G1345" s="50"/>
      <c r="H1345" s="42"/>
      <c r="I1345" s="385"/>
      <c r="J1345" s="385"/>
    </row>
    <row r="1346" spans="1:10" ht="24.75" customHeight="1">
      <c r="A1346" s="115" t="s">
        <v>19</v>
      </c>
      <c r="B1346" s="42">
        <f>C1346*1.33</f>
        <v>46.550000000000004</v>
      </c>
      <c r="C1346" s="16">
        <v>35</v>
      </c>
      <c r="D1346" s="16"/>
      <c r="E1346" s="50"/>
      <c r="F1346" s="50"/>
      <c r="G1346" s="50"/>
      <c r="H1346" s="42"/>
      <c r="I1346" s="385"/>
      <c r="J1346" s="385"/>
    </row>
    <row r="1347" spans="1:10" ht="24.75" customHeight="1">
      <c r="A1347" s="115" t="s">
        <v>21</v>
      </c>
      <c r="B1347" s="42">
        <f>C1347*1.33</f>
        <v>86.45</v>
      </c>
      <c r="C1347" s="16">
        <v>65</v>
      </c>
      <c r="D1347" s="16"/>
      <c r="E1347" s="50"/>
      <c r="F1347" s="50"/>
      <c r="G1347" s="50"/>
      <c r="H1347" s="42"/>
      <c r="I1347" s="383"/>
      <c r="J1347" s="389"/>
    </row>
    <row r="1348" spans="1:10" ht="24.75" customHeight="1">
      <c r="A1348" s="115" t="s">
        <v>22</v>
      </c>
      <c r="B1348" s="42">
        <f>C1348*1.43</f>
        <v>92.95</v>
      </c>
      <c r="C1348" s="16">
        <v>65</v>
      </c>
      <c r="D1348" s="16"/>
      <c r="E1348" s="50"/>
      <c r="F1348" s="50"/>
      <c r="G1348" s="50"/>
      <c r="H1348" s="42"/>
      <c r="I1348" s="383"/>
      <c r="J1348" s="382"/>
    </row>
    <row r="1349" spans="1:10" ht="24.75" customHeight="1">
      <c r="A1349" s="115" t="s">
        <v>23</v>
      </c>
      <c r="B1349" s="42">
        <f>C1349*1.54</f>
        <v>100.10000000000001</v>
      </c>
      <c r="C1349" s="16">
        <v>65</v>
      </c>
      <c r="D1349" s="16"/>
      <c r="E1349" s="50"/>
      <c r="F1349" s="50"/>
      <c r="G1349" s="50"/>
      <c r="H1349" s="42"/>
      <c r="I1349" s="383"/>
      <c r="J1349" s="382"/>
    </row>
    <row r="1350" spans="1:10" ht="24.75" customHeight="1">
      <c r="A1350" s="115" t="s">
        <v>24</v>
      </c>
      <c r="B1350" s="42">
        <f>C1350*1.67</f>
        <v>108.55</v>
      </c>
      <c r="C1350" s="16">
        <v>65</v>
      </c>
      <c r="D1350" s="16"/>
      <c r="E1350" s="50"/>
      <c r="F1350" s="50"/>
      <c r="G1350" s="50"/>
      <c r="H1350" s="42"/>
      <c r="I1350" s="383"/>
      <c r="J1350" s="382"/>
    </row>
    <row r="1351" spans="1:10" ht="24.75" customHeight="1">
      <c r="A1351" s="172" t="s">
        <v>435</v>
      </c>
      <c r="B1351" s="42">
        <f>C1351*1.54</f>
        <v>46.2</v>
      </c>
      <c r="C1351" s="16">
        <v>30</v>
      </c>
      <c r="D1351" s="16"/>
      <c r="E1351" s="50"/>
      <c r="F1351" s="50"/>
      <c r="G1351" s="50"/>
      <c r="H1351" s="42"/>
      <c r="I1351" s="383"/>
      <c r="J1351" s="382"/>
    </row>
    <row r="1352" spans="1:10" ht="24.75" customHeight="1">
      <c r="A1352" s="172" t="s">
        <v>583</v>
      </c>
      <c r="B1352" s="16">
        <v>50</v>
      </c>
      <c r="C1352" s="16">
        <v>40</v>
      </c>
      <c r="D1352" s="16"/>
      <c r="E1352" s="50"/>
      <c r="F1352" s="50"/>
      <c r="G1352" s="50"/>
      <c r="H1352" s="42"/>
      <c r="I1352" s="385"/>
      <c r="J1352" s="381"/>
    </row>
    <row r="1353" spans="1:10" ht="24.75" customHeight="1">
      <c r="A1353" s="115" t="s">
        <v>118</v>
      </c>
      <c r="B1353" s="50">
        <f>C1353*1.28</f>
        <v>1.024</v>
      </c>
      <c r="C1353" s="16">
        <v>0.8</v>
      </c>
      <c r="D1353" s="16"/>
      <c r="E1353" s="50"/>
      <c r="F1353" s="50"/>
      <c r="G1353" s="50"/>
      <c r="H1353" s="42"/>
      <c r="I1353" s="385"/>
      <c r="J1353" s="381"/>
    </row>
    <row r="1354" spans="1:10" ht="24.75" customHeight="1">
      <c r="A1354" s="115" t="s">
        <v>26</v>
      </c>
      <c r="B1354" s="42">
        <f>C1354*1.19</f>
        <v>17.849999999999998</v>
      </c>
      <c r="C1354" s="16">
        <v>15</v>
      </c>
      <c r="D1354" s="16"/>
      <c r="E1354" s="50"/>
      <c r="F1354" s="50"/>
      <c r="G1354" s="50"/>
      <c r="H1354" s="42"/>
      <c r="I1354" s="383"/>
      <c r="J1354" s="389"/>
    </row>
    <row r="1355" spans="1:10" ht="24.75" customHeight="1">
      <c r="A1355" s="115" t="s">
        <v>20</v>
      </c>
      <c r="B1355" s="16">
        <v>6</v>
      </c>
      <c r="C1355" s="16">
        <v>6</v>
      </c>
      <c r="D1355" s="16"/>
      <c r="E1355" s="50"/>
      <c r="F1355" s="50"/>
      <c r="G1355" s="50"/>
      <c r="H1355" s="42"/>
      <c r="I1355" s="385"/>
      <c r="J1355" s="381"/>
    </row>
    <row r="1356" spans="1:10" ht="24.75" customHeight="1">
      <c r="A1356" s="468" t="s">
        <v>193</v>
      </c>
      <c r="B1356" s="468"/>
      <c r="C1356" s="468"/>
      <c r="D1356" s="151" t="s">
        <v>409</v>
      </c>
      <c r="E1356" s="145">
        <v>0.2</v>
      </c>
      <c r="F1356" s="145">
        <v>0</v>
      </c>
      <c r="G1356" s="145">
        <v>8</v>
      </c>
      <c r="H1356" s="152">
        <f>E1356*4+F1356*9+G1356*4</f>
        <v>32.8</v>
      </c>
      <c r="I1356" s="306">
        <v>0</v>
      </c>
      <c r="J1356" s="306" t="s">
        <v>353</v>
      </c>
    </row>
    <row r="1357" spans="1:13" ht="24.75" customHeight="1" thickBot="1">
      <c r="A1357" s="115" t="s">
        <v>16</v>
      </c>
      <c r="B1357" s="16">
        <v>1</v>
      </c>
      <c r="C1357" s="16">
        <v>1</v>
      </c>
      <c r="D1357" s="16"/>
      <c r="E1357" s="50"/>
      <c r="F1357" s="50"/>
      <c r="G1357" s="50"/>
      <c r="H1357" s="42"/>
      <c r="I1357" s="307"/>
      <c r="J1357" s="306"/>
      <c r="L1357" s="181" t="s">
        <v>100</v>
      </c>
      <c r="M1357" s="102"/>
    </row>
    <row r="1358" spans="1:13" ht="24.75" customHeight="1">
      <c r="A1358" s="115" t="s">
        <v>410</v>
      </c>
      <c r="B1358" s="16">
        <v>10</v>
      </c>
      <c r="C1358" s="16">
        <v>10</v>
      </c>
      <c r="D1358" s="16"/>
      <c r="E1358" s="50"/>
      <c r="F1358" s="50"/>
      <c r="G1358" s="50"/>
      <c r="H1358" s="42"/>
      <c r="I1358" s="50"/>
      <c r="J1358" s="306"/>
      <c r="L1358" s="59" t="s">
        <v>72</v>
      </c>
      <c r="M1358" s="102">
        <f>D1452+D1507</f>
        <v>80</v>
      </c>
    </row>
    <row r="1359" spans="1:13" ht="33" customHeight="1">
      <c r="A1359" s="461" t="s">
        <v>258</v>
      </c>
      <c r="B1359" s="461"/>
      <c r="C1359" s="461"/>
      <c r="D1359" s="151">
        <v>15</v>
      </c>
      <c r="E1359" s="145">
        <v>1.23</v>
      </c>
      <c r="F1359" s="145">
        <v>0.21000000000000002</v>
      </c>
      <c r="G1359" s="145">
        <v>5.7</v>
      </c>
      <c r="H1359" s="152">
        <v>29.610000000000003</v>
      </c>
      <c r="I1359" s="306">
        <v>0</v>
      </c>
      <c r="J1359" s="306"/>
      <c r="L1359" s="35" t="s">
        <v>82</v>
      </c>
      <c r="M1359" s="102">
        <f>D1451+D1508+C1378+D1454+B1420</f>
        <v>177</v>
      </c>
    </row>
    <row r="1360" spans="1:13" ht="24.75" customHeight="1">
      <c r="A1360" s="461" t="s">
        <v>72</v>
      </c>
      <c r="B1360" s="461"/>
      <c r="C1360" s="461"/>
      <c r="D1360" s="151">
        <v>15</v>
      </c>
      <c r="E1360" s="145">
        <v>1.02</v>
      </c>
      <c r="F1360" s="145">
        <v>0.18</v>
      </c>
      <c r="G1360" s="145">
        <v>5.04</v>
      </c>
      <c r="H1360" s="152">
        <v>25.859999999999996</v>
      </c>
      <c r="I1360" s="306">
        <v>0</v>
      </c>
      <c r="J1360" s="306"/>
      <c r="L1360" s="35" t="s">
        <v>83</v>
      </c>
      <c r="M1360" s="102" t="e">
        <f>B1381+B1425+B1428+#REF!</f>
        <v>#REF!</v>
      </c>
    </row>
    <row r="1361" spans="1:13" ht="24.75" customHeight="1">
      <c r="A1361" s="466" t="s">
        <v>232</v>
      </c>
      <c r="B1361" s="466"/>
      <c r="C1361" s="466"/>
      <c r="D1361" s="466"/>
      <c r="E1361" s="466"/>
      <c r="F1361" s="466"/>
      <c r="G1361" s="466"/>
      <c r="H1361" s="466"/>
      <c r="I1361" s="466"/>
      <c r="J1361" s="466"/>
      <c r="L1361" s="36" t="s">
        <v>126</v>
      </c>
      <c r="M1361" s="102">
        <f>B1409+B1373</f>
        <v>33</v>
      </c>
    </row>
    <row r="1362" spans="1:13" ht="24.75" customHeight="1">
      <c r="A1362" s="274" t="s">
        <v>257</v>
      </c>
      <c r="B1362" s="16">
        <v>154</v>
      </c>
      <c r="C1362" s="112">
        <v>150</v>
      </c>
      <c r="D1362" s="41">
        <v>150</v>
      </c>
      <c r="E1362" s="44">
        <v>3.2</v>
      </c>
      <c r="F1362" s="44">
        <v>3.6</v>
      </c>
      <c r="G1362" s="44">
        <v>6</v>
      </c>
      <c r="H1362" s="45">
        <f>E1362*4+F1362*9+G1362*4</f>
        <v>69.2</v>
      </c>
      <c r="I1362" s="307">
        <v>1.02</v>
      </c>
      <c r="J1362" s="306" t="s">
        <v>372</v>
      </c>
      <c r="L1362" s="39" t="s">
        <v>330</v>
      </c>
      <c r="M1362" s="106">
        <f>C1409</f>
        <v>20</v>
      </c>
    </row>
    <row r="1363" spans="1:13" ht="24.75" customHeight="1">
      <c r="A1363" s="478" t="s">
        <v>141</v>
      </c>
      <c r="B1363" s="478"/>
      <c r="C1363" s="478"/>
      <c r="D1363" s="478"/>
      <c r="E1363" s="217">
        <f>E1361+E1332+E1328+E1289+E1266+E1287</f>
        <v>69.04557894736843</v>
      </c>
      <c r="F1363" s="217">
        <f>F1361+F1332+F1328+F1289+F1266+F1287</f>
        <v>70.9</v>
      </c>
      <c r="G1363" s="216">
        <f>G1361+G1332+G1328+G1289+G1266+G1287</f>
        <v>303.6</v>
      </c>
      <c r="H1363" s="217">
        <f>H1361+H1332+H1328+H1289+H1266+H1287</f>
        <v>2164.1923157894735</v>
      </c>
      <c r="I1363" s="318">
        <f>I1361+I1332+I1328+I1289+I1266+I1287</f>
        <v>63.42521978021978</v>
      </c>
      <c r="J1363" s="324"/>
      <c r="L1363" s="35" t="s">
        <v>138</v>
      </c>
      <c r="M1363" s="102">
        <f>B1437+B1494</f>
        <v>313.88</v>
      </c>
    </row>
    <row r="1364" spans="1:13" ht="24.75" customHeight="1">
      <c r="A1364" s="491" t="s">
        <v>32</v>
      </c>
      <c r="B1364" s="491"/>
      <c r="C1364" s="491"/>
      <c r="D1364" s="491"/>
      <c r="E1364" s="491"/>
      <c r="F1364" s="491"/>
      <c r="G1364" s="491"/>
      <c r="H1364" s="491"/>
      <c r="I1364" s="491"/>
      <c r="J1364" s="491"/>
      <c r="L1364" s="35" t="s">
        <v>84</v>
      </c>
      <c r="M1364" s="102">
        <f>B1398+B1399+B1401+B1411+B1412+B1442+B1443+B1444+B1475++B1499+B1422+B1431+B1433+B1434+B1415+B1501</f>
        <v>349.26</v>
      </c>
    </row>
    <row r="1365" spans="1:13" ht="24.75" customHeight="1">
      <c r="A1365" s="491" t="s">
        <v>100</v>
      </c>
      <c r="B1365" s="491"/>
      <c r="C1365" s="491"/>
      <c r="D1365" s="491"/>
      <c r="E1365" s="491"/>
      <c r="F1365" s="491"/>
      <c r="G1365" s="491"/>
      <c r="H1365" s="491"/>
      <c r="I1365" s="491"/>
      <c r="J1365" s="491"/>
      <c r="L1365" s="35" t="s">
        <v>85</v>
      </c>
      <c r="M1365" s="102">
        <f>D1395+B1448+B1449+B1506+B1478</f>
        <v>236.32999999999998</v>
      </c>
    </row>
    <row r="1366" spans="1:13" ht="24.75" customHeight="1">
      <c r="A1366" s="455" t="s">
        <v>2</v>
      </c>
      <c r="B1366" s="449" t="s">
        <v>3</v>
      </c>
      <c r="C1366" s="449" t="s">
        <v>4</v>
      </c>
      <c r="D1366" s="455" t="s">
        <v>5</v>
      </c>
      <c r="E1366" s="455"/>
      <c r="F1366" s="455"/>
      <c r="G1366" s="455"/>
      <c r="H1366" s="455"/>
      <c r="I1366" s="455"/>
      <c r="J1366" s="446" t="s">
        <v>311</v>
      </c>
      <c r="L1366" s="35" t="s">
        <v>127</v>
      </c>
      <c r="M1366" s="102">
        <f>D1472</f>
        <v>200</v>
      </c>
    </row>
    <row r="1367" spans="1:13" ht="24.75" customHeight="1">
      <c r="A1367" s="455"/>
      <c r="B1367" s="449"/>
      <c r="C1367" s="449"/>
      <c r="D1367" s="449" t="s">
        <v>6</v>
      </c>
      <c r="E1367" s="467" t="s">
        <v>7</v>
      </c>
      <c r="F1367" s="467" t="s">
        <v>8</v>
      </c>
      <c r="G1367" s="467" t="s">
        <v>9</v>
      </c>
      <c r="H1367" s="453" t="s">
        <v>10</v>
      </c>
      <c r="I1367" s="444" t="s">
        <v>312</v>
      </c>
      <c r="J1367" s="447"/>
      <c r="L1367" s="35" t="s">
        <v>86</v>
      </c>
      <c r="M1367" s="102">
        <f>B1480</f>
        <v>9</v>
      </c>
    </row>
    <row r="1368" spans="1:13" ht="24.75" customHeight="1">
      <c r="A1368" s="455"/>
      <c r="B1368" s="449"/>
      <c r="C1368" s="449"/>
      <c r="D1368" s="449"/>
      <c r="E1368" s="467"/>
      <c r="F1368" s="467"/>
      <c r="G1368" s="467"/>
      <c r="H1368" s="453"/>
      <c r="I1368" s="445"/>
      <c r="J1368" s="448"/>
      <c r="L1368" s="35" t="s">
        <v>87</v>
      </c>
      <c r="M1368" s="102">
        <f>B1376+B1392+B1450+B1383+B1388+C1505+B1479+B1435</f>
        <v>67.6</v>
      </c>
    </row>
    <row r="1369" spans="1:12" ht="24.75" customHeight="1">
      <c r="A1369" s="466" t="s">
        <v>11</v>
      </c>
      <c r="B1369" s="466"/>
      <c r="C1369" s="466"/>
      <c r="D1369" s="466"/>
      <c r="E1369" s="128">
        <f>SUM(E1370:E1395)</f>
        <v>12.5</v>
      </c>
      <c r="F1369" s="128">
        <f>SUM(F1370:F1395)</f>
        <v>22.6</v>
      </c>
      <c r="G1369" s="128">
        <f>SUM(G1370:G1395)</f>
        <v>81.7</v>
      </c>
      <c r="H1369" s="116">
        <f>SUM(H1370:H1395)</f>
        <v>580.2</v>
      </c>
      <c r="I1369" s="128">
        <f>SUM(I1370:I1395)</f>
        <v>13.129999999999999</v>
      </c>
      <c r="J1369" s="159"/>
      <c r="L1369" s="240" t="s">
        <v>207</v>
      </c>
    </row>
    <row r="1370" spans="1:13" ht="24.75" customHeight="1">
      <c r="A1370" s="481" t="s">
        <v>282</v>
      </c>
      <c r="B1370" s="481"/>
      <c r="C1370" s="481"/>
      <c r="D1370" s="151">
        <v>220</v>
      </c>
      <c r="E1370" s="151">
        <v>3.8</v>
      </c>
      <c r="F1370" s="145">
        <v>4</v>
      </c>
      <c r="G1370" s="145">
        <v>15</v>
      </c>
      <c r="H1370" s="152">
        <f>G1370*4+F1370*9+E1370*4</f>
        <v>111.2</v>
      </c>
      <c r="I1370" s="306">
        <v>0.61</v>
      </c>
      <c r="J1370" s="306" t="s">
        <v>336</v>
      </c>
      <c r="L1370" s="35" t="s">
        <v>128</v>
      </c>
      <c r="M1370" s="102">
        <f>B1391+B1386</f>
        <v>3</v>
      </c>
    </row>
    <row r="1371" spans="1:13" ht="24.75" customHeight="1">
      <c r="A1371" s="115" t="s">
        <v>149</v>
      </c>
      <c r="B1371" s="178">
        <v>110</v>
      </c>
      <c r="C1371" s="178">
        <v>110</v>
      </c>
      <c r="D1371" s="95"/>
      <c r="E1371" s="41"/>
      <c r="F1371" s="41"/>
      <c r="G1371" s="41"/>
      <c r="H1371" s="45"/>
      <c r="I1371" s="317"/>
      <c r="J1371" s="317"/>
      <c r="L1371" s="35" t="s">
        <v>88</v>
      </c>
      <c r="M1371" s="102">
        <f>B1504</f>
        <v>0.4</v>
      </c>
    </row>
    <row r="1372" spans="1:13" ht="24.75" customHeight="1">
      <c r="A1372" s="339" t="s">
        <v>110</v>
      </c>
      <c r="B1372" s="178">
        <v>121</v>
      </c>
      <c r="C1372" s="178">
        <v>121</v>
      </c>
      <c r="D1372" s="95"/>
      <c r="E1372" s="95"/>
      <c r="F1372" s="95"/>
      <c r="G1372" s="95"/>
      <c r="H1372" s="97"/>
      <c r="I1372" s="317"/>
      <c r="J1372" s="317"/>
      <c r="L1372" s="221" t="s">
        <v>137</v>
      </c>
      <c r="M1372" s="133">
        <f>B1418</f>
        <v>67.25999999999999</v>
      </c>
    </row>
    <row r="1373" spans="1:13" ht="24.75" customHeight="1">
      <c r="A1373" s="340" t="s">
        <v>337</v>
      </c>
      <c r="B1373" s="157">
        <v>13</v>
      </c>
      <c r="C1373" s="157">
        <v>13</v>
      </c>
      <c r="D1373" s="95"/>
      <c r="E1373" s="157"/>
      <c r="F1373" s="157"/>
      <c r="G1373" s="157"/>
      <c r="H1373" s="232"/>
      <c r="I1373" s="317"/>
      <c r="J1373" s="317"/>
      <c r="L1373" s="240" t="s">
        <v>208</v>
      </c>
      <c r="M1373" s="102">
        <f>B1413</f>
        <v>16</v>
      </c>
    </row>
    <row r="1374" spans="1:13" ht="24.75" customHeight="1">
      <c r="A1374" s="340" t="s">
        <v>338</v>
      </c>
      <c r="B1374" s="157">
        <v>18</v>
      </c>
      <c r="C1374" s="157">
        <v>18</v>
      </c>
      <c r="D1374" s="95"/>
      <c r="E1374" s="157"/>
      <c r="F1374" s="157"/>
      <c r="G1374" s="157"/>
      <c r="H1374" s="232"/>
      <c r="I1374" s="309"/>
      <c r="J1374" s="317"/>
      <c r="L1374" s="35" t="s">
        <v>89</v>
      </c>
      <c r="M1374" s="102">
        <f>B1486</f>
        <v>109.08000000000001</v>
      </c>
    </row>
    <row r="1375" spans="1:13" ht="24.75" customHeight="1">
      <c r="A1375" s="156" t="s">
        <v>27</v>
      </c>
      <c r="B1375" s="231">
        <v>1.8</v>
      </c>
      <c r="C1375" s="231">
        <v>1.8</v>
      </c>
      <c r="D1375" s="95"/>
      <c r="E1375" s="95"/>
      <c r="F1375" s="157"/>
      <c r="G1375" s="157"/>
      <c r="H1375" s="232"/>
      <c r="I1375" s="309"/>
      <c r="J1375" s="317"/>
      <c r="L1375" s="35" t="s">
        <v>130</v>
      </c>
      <c r="M1375" s="102"/>
    </row>
    <row r="1376" spans="1:13" ht="24.75" customHeight="1">
      <c r="A1376" s="139" t="s">
        <v>12</v>
      </c>
      <c r="B1376" s="161">
        <v>2.6</v>
      </c>
      <c r="C1376" s="161">
        <v>2.6</v>
      </c>
      <c r="D1376" s="151"/>
      <c r="E1376" s="151"/>
      <c r="F1376" s="153"/>
      <c r="G1376" s="153"/>
      <c r="H1376" s="142"/>
      <c r="I1376" s="317"/>
      <c r="J1376" s="317"/>
      <c r="L1376" s="36" t="s">
        <v>131</v>
      </c>
      <c r="M1376" s="102">
        <f>B1371+B1393+B1421</f>
        <v>228</v>
      </c>
    </row>
    <row r="1377" spans="1:13" ht="24.75" customHeight="1">
      <c r="A1377" s="49" t="s">
        <v>354</v>
      </c>
      <c r="B1377" s="41"/>
      <c r="C1377" s="41"/>
      <c r="D1377" s="80" t="s">
        <v>333</v>
      </c>
      <c r="E1377" s="145">
        <v>1.6</v>
      </c>
      <c r="F1377" s="145">
        <v>8.7</v>
      </c>
      <c r="G1377" s="145">
        <v>9.9</v>
      </c>
      <c r="H1377" s="152">
        <f>E1377*4+F1377*9+G1377*4</f>
        <v>124.30000000000001</v>
      </c>
      <c r="I1377" s="306">
        <v>0</v>
      </c>
      <c r="J1377" s="306" t="s">
        <v>357</v>
      </c>
      <c r="L1377" s="39" t="s">
        <v>331</v>
      </c>
      <c r="M1377" s="106">
        <f>B1510</f>
        <v>154</v>
      </c>
    </row>
    <row r="1378" spans="1:13" ht="24.75" customHeight="1">
      <c r="A1378" s="115" t="s">
        <v>356</v>
      </c>
      <c r="B1378" s="16">
        <v>20</v>
      </c>
      <c r="C1378" s="16">
        <v>20</v>
      </c>
      <c r="D1378" s="16"/>
      <c r="E1378" s="50"/>
      <c r="F1378" s="50"/>
      <c r="G1378" s="50"/>
      <c r="H1378" s="42"/>
      <c r="I1378" s="306"/>
      <c r="J1378" s="306"/>
      <c r="L1378" s="35" t="s">
        <v>90</v>
      </c>
      <c r="M1378" s="101"/>
    </row>
    <row r="1379" spans="1:13" ht="24.75" customHeight="1">
      <c r="A1379" s="172" t="s">
        <v>355</v>
      </c>
      <c r="B1379" s="16">
        <v>10</v>
      </c>
      <c r="C1379" s="16">
        <v>10</v>
      </c>
      <c r="D1379" s="16"/>
      <c r="E1379" s="50"/>
      <c r="F1379" s="50"/>
      <c r="G1379" s="50"/>
      <c r="H1379" s="45"/>
      <c r="I1379" s="306"/>
      <c r="J1379" s="306"/>
      <c r="L1379" s="35" t="s">
        <v>91</v>
      </c>
      <c r="M1379" s="103">
        <f>B1385</f>
        <v>15</v>
      </c>
    </row>
    <row r="1380" spans="1:13" ht="24.75" customHeight="1">
      <c r="A1380" s="473" t="s">
        <v>293</v>
      </c>
      <c r="B1380" s="474"/>
      <c r="C1380" s="475"/>
      <c r="D1380" s="95">
        <v>50</v>
      </c>
      <c r="E1380" s="151">
        <v>2.8</v>
      </c>
      <c r="F1380" s="151">
        <v>7.4</v>
      </c>
      <c r="G1380" s="151">
        <v>20.8</v>
      </c>
      <c r="H1380" s="152">
        <f>G1380*4+F1380*9+E1380*4</f>
        <v>161</v>
      </c>
      <c r="I1380" s="317">
        <v>0.02</v>
      </c>
      <c r="J1380" s="317" t="s">
        <v>348</v>
      </c>
      <c r="L1380" s="35" t="s">
        <v>134</v>
      </c>
      <c r="M1380" s="103"/>
    </row>
    <row r="1381" spans="1:13" ht="24.75" customHeight="1">
      <c r="A1381" s="139" t="s">
        <v>294</v>
      </c>
      <c r="B1381" s="142">
        <v>12</v>
      </c>
      <c r="C1381" s="142">
        <v>12</v>
      </c>
      <c r="D1381" s="95"/>
      <c r="E1381" s="151"/>
      <c r="F1381" s="153"/>
      <c r="G1381" s="153"/>
      <c r="H1381" s="142"/>
      <c r="I1381" s="309"/>
      <c r="J1381" s="317"/>
      <c r="L1381" s="35" t="s">
        <v>92</v>
      </c>
      <c r="M1381" s="103">
        <f>B1375+C1379+B1414+B1446+B1498+B1384+B1389+B1430</f>
        <v>40.8</v>
      </c>
    </row>
    <row r="1382" spans="1:13" ht="24.75" customHeight="1">
      <c r="A1382" s="139" t="s">
        <v>29</v>
      </c>
      <c r="B1382" s="142">
        <v>8</v>
      </c>
      <c r="C1382" s="142">
        <v>8</v>
      </c>
      <c r="D1382" s="95"/>
      <c r="E1382" s="145"/>
      <c r="F1382" s="145"/>
      <c r="G1382" s="145"/>
      <c r="H1382" s="145"/>
      <c r="I1382" s="306"/>
      <c r="J1382" s="145"/>
      <c r="L1382" s="35" t="s">
        <v>65</v>
      </c>
      <c r="M1382" s="103">
        <f>B1403+B1423+B1481+B1426+B1492</f>
        <v>20</v>
      </c>
    </row>
    <row r="1383" spans="1:13" ht="24.75" customHeight="1" thickBot="1">
      <c r="A1383" s="139" t="s">
        <v>12</v>
      </c>
      <c r="B1383" s="142">
        <v>15</v>
      </c>
      <c r="C1383" s="142">
        <v>15</v>
      </c>
      <c r="D1383" s="95"/>
      <c r="E1383" s="151"/>
      <c r="F1383" s="153"/>
      <c r="G1383" s="153"/>
      <c r="H1383" s="142"/>
      <c r="I1383" s="317"/>
      <c r="J1383" s="317"/>
      <c r="L1383" s="37" t="s">
        <v>93</v>
      </c>
      <c r="M1383" s="103">
        <f>B1382</f>
        <v>8</v>
      </c>
    </row>
    <row r="1384" spans="1:12" ht="24.75" customHeight="1">
      <c r="A1384" s="156" t="s">
        <v>27</v>
      </c>
      <c r="B1384" s="142">
        <v>4</v>
      </c>
      <c r="C1384" s="142">
        <v>4</v>
      </c>
      <c r="D1384" s="95"/>
      <c r="E1384" s="151"/>
      <c r="F1384" s="153"/>
      <c r="G1384" s="153"/>
      <c r="H1384" s="142"/>
      <c r="I1384" s="309"/>
      <c r="J1384" s="317"/>
      <c r="L1384" s="241" t="s">
        <v>209</v>
      </c>
    </row>
    <row r="1385" spans="1:13" ht="24.75" customHeight="1">
      <c r="A1385" s="139" t="s">
        <v>95</v>
      </c>
      <c r="B1385" s="142">
        <v>15</v>
      </c>
      <c r="C1385" s="142">
        <v>15</v>
      </c>
      <c r="D1385" s="95"/>
      <c r="E1385" s="151"/>
      <c r="F1385" s="161"/>
      <c r="G1385" s="153"/>
      <c r="H1385" s="142"/>
      <c r="I1385" s="309"/>
      <c r="J1385" s="317"/>
      <c r="L1385" s="39" t="s">
        <v>219</v>
      </c>
      <c r="M1385" s="244"/>
    </row>
    <row r="1386" spans="1:10" ht="24.75" customHeight="1">
      <c r="A1386" s="139" t="s">
        <v>104</v>
      </c>
      <c r="B1386" s="142">
        <v>1</v>
      </c>
      <c r="C1386" s="142">
        <v>1</v>
      </c>
      <c r="D1386" s="96"/>
      <c r="E1386" s="151"/>
      <c r="F1386" s="153"/>
      <c r="G1386" s="153"/>
      <c r="H1386" s="142"/>
      <c r="I1386" s="309"/>
      <c r="J1386" s="317"/>
    </row>
    <row r="1387" spans="1:10" ht="24.75" customHeight="1">
      <c r="A1387" s="139" t="s">
        <v>295</v>
      </c>
      <c r="B1387" s="161">
        <v>0.5</v>
      </c>
      <c r="C1387" s="161">
        <v>0.5</v>
      </c>
      <c r="D1387" s="95"/>
      <c r="E1387" s="151"/>
      <c r="F1387" s="153"/>
      <c r="G1387" s="153"/>
      <c r="H1387" s="142"/>
      <c r="I1387" s="309"/>
      <c r="J1387" s="317"/>
    </row>
    <row r="1388" spans="1:10" ht="24.75" customHeight="1">
      <c r="A1388" s="139" t="s">
        <v>105</v>
      </c>
      <c r="B1388" s="161">
        <v>2.5</v>
      </c>
      <c r="C1388" s="161">
        <v>2.5</v>
      </c>
      <c r="D1388" s="95"/>
      <c r="E1388" s="151"/>
      <c r="F1388" s="153"/>
      <c r="G1388" s="153"/>
      <c r="H1388" s="142"/>
      <c r="I1388" s="309"/>
      <c r="J1388" s="317"/>
    </row>
    <row r="1389" spans="1:10" ht="24.75" customHeight="1">
      <c r="A1389" s="139" t="s">
        <v>178</v>
      </c>
      <c r="B1389" s="142">
        <v>1</v>
      </c>
      <c r="C1389" s="142">
        <v>1</v>
      </c>
      <c r="D1389" s="95"/>
      <c r="E1389" s="151"/>
      <c r="F1389" s="153"/>
      <c r="G1389" s="153"/>
      <c r="H1389" s="142"/>
      <c r="I1389" s="309"/>
      <c r="J1389" s="317"/>
    </row>
    <row r="1390" spans="1:11" ht="24.75" customHeight="1">
      <c r="A1390" s="461" t="s">
        <v>152</v>
      </c>
      <c r="B1390" s="461"/>
      <c r="C1390" s="461"/>
      <c r="D1390" s="151">
        <v>200</v>
      </c>
      <c r="E1390" s="151">
        <v>3.9</v>
      </c>
      <c r="F1390" s="151">
        <v>2.5</v>
      </c>
      <c r="G1390" s="145">
        <v>18</v>
      </c>
      <c r="H1390" s="152">
        <f>E1390*4+F1390*9+G1390*4</f>
        <v>110.1</v>
      </c>
      <c r="I1390" s="306">
        <v>0.5</v>
      </c>
      <c r="J1390" s="306" t="s">
        <v>362</v>
      </c>
      <c r="K1390" s="246"/>
    </row>
    <row r="1391" spans="1:10" ht="18.75" customHeight="1">
      <c r="A1391" s="184" t="s">
        <v>181</v>
      </c>
      <c r="B1391" s="183">
        <v>2</v>
      </c>
      <c r="C1391" s="183">
        <v>2</v>
      </c>
      <c r="D1391" s="183"/>
      <c r="E1391" s="151"/>
      <c r="F1391" s="151"/>
      <c r="G1391" s="145"/>
      <c r="H1391" s="45"/>
      <c r="I1391" s="307"/>
      <c r="J1391" s="306"/>
    </row>
    <row r="1392" spans="1:10" ht="18" customHeight="1">
      <c r="A1392" s="139" t="s">
        <v>12</v>
      </c>
      <c r="B1392" s="153">
        <v>15</v>
      </c>
      <c r="C1392" s="153">
        <v>15</v>
      </c>
      <c r="D1392" s="153"/>
      <c r="E1392" s="161"/>
      <c r="F1392" s="161"/>
      <c r="G1392" s="161"/>
      <c r="H1392" s="142"/>
      <c r="I1392" s="306"/>
      <c r="J1392" s="306"/>
    </row>
    <row r="1393" spans="1:10" ht="17.25" customHeight="1">
      <c r="A1393" s="184" t="s">
        <v>149</v>
      </c>
      <c r="B1393" s="183">
        <v>100</v>
      </c>
      <c r="C1393" s="183">
        <v>100</v>
      </c>
      <c r="D1393" s="183"/>
      <c r="E1393" s="183"/>
      <c r="F1393" s="183"/>
      <c r="G1393" s="183"/>
      <c r="H1393" s="187"/>
      <c r="I1393" s="317"/>
      <c r="J1393" s="317"/>
    </row>
    <row r="1394" spans="1:10" ht="24.75" customHeight="1">
      <c r="A1394" s="477" t="s">
        <v>151</v>
      </c>
      <c r="B1394" s="477"/>
      <c r="C1394" s="477"/>
      <c r="D1394" s="477"/>
      <c r="E1394" s="477"/>
      <c r="F1394" s="477"/>
      <c r="G1394" s="477"/>
      <c r="H1394" s="477"/>
      <c r="I1394" s="477"/>
      <c r="J1394" s="477"/>
    </row>
    <row r="1395" spans="1:10" ht="48.75" customHeight="1">
      <c r="A1395" s="472" t="s">
        <v>345</v>
      </c>
      <c r="B1395" s="472"/>
      <c r="C1395" s="472"/>
      <c r="D1395" s="143">
        <v>180</v>
      </c>
      <c r="E1395" s="145">
        <v>0.4</v>
      </c>
      <c r="F1395" s="144">
        <v>0</v>
      </c>
      <c r="G1395" s="145">
        <v>18</v>
      </c>
      <c r="H1395" s="152">
        <f>E1395*4+F1395*9+G1395*4</f>
        <v>73.6</v>
      </c>
      <c r="I1395" s="306">
        <v>12</v>
      </c>
      <c r="J1395" s="306"/>
    </row>
    <row r="1396" spans="1:10" ht="24.75" customHeight="1">
      <c r="A1396" s="466" t="s">
        <v>59</v>
      </c>
      <c r="B1396" s="466"/>
      <c r="C1396" s="466"/>
      <c r="D1396" s="466"/>
      <c r="E1396" s="128">
        <f>E1397+E1404+E1427+E1436+E1447+E1451+E1452+E1416</f>
        <v>27.6</v>
      </c>
      <c r="F1396" s="128">
        <f>F1397+F1404+F1427+F1436+F1447+F1451+F1452+F1416</f>
        <v>28.24153846153846</v>
      </c>
      <c r="G1396" s="128">
        <f>G1397+G1404+G1427+G1436+G1447+G1451+G1452+G1416</f>
        <v>93.10999999999999</v>
      </c>
      <c r="H1396" s="116">
        <f>H1397+H1404+H1427+H1436+H1447+H1451+H1452+H1416</f>
        <v>736.7538461538461</v>
      </c>
      <c r="I1396" s="128">
        <f>I1397+I1404+I1427+I1436+I1447+I1451+I1452+I1416</f>
        <v>28.19660714285714</v>
      </c>
      <c r="J1396" s="159"/>
    </row>
    <row r="1397" spans="1:10" ht="24.75" customHeight="1">
      <c r="A1397" s="468" t="s">
        <v>113</v>
      </c>
      <c r="B1397" s="468"/>
      <c r="C1397" s="468"/>
      <c r="D1397" s="41">
        <v>70</v>
      </c>
      <c r="E1397" s="44">
        <v>0.91</v>
      </c>
      <c r="F1397" s="44">
        <v>3.5</v>
      </c>
      <c r="G1397" s="44">
        <v>2.52</v>
      </c>
      <c r="H1397" s="45">
        <f>E1397*4+F1397*9+G1397*4</f>
        <v>45.22</v>
      </c>
      <c r="I1397" s="307">
        <v>18.61125</v>
      </c>
      <c r="J1397" s="306" t="s">
        <v>523</v>
      </c>
    </row>
    <row r="1398" spans="1:10" ht="24.75" customHeight="1">
      <c r="A1398" s="171" t="s">
        <v>390</v>
      </c>
      <c r="B1398" s="94">
        <f>C1398*1.25</f>
        <v>43.75</v>
      </c>
      <c r="C1398" s="16">
        <v>35</v>
      </c>
      <c r="D1398" s="42"/>
      <c r="E1398" s="50"/>
      <c r="F1398" s="50"/>
      <c r="G1398" s="50"/>
      <c r="H1398" s="42"/>
      <c r="I1398" s="307"/>
      <c r="J1398" s="306"/>
    </row>
    <row r="1399" spans="1:10" ht="24.75" customHeight="1">
      <c r="A1399" s="184" t="s">
        <v>163</v>
      </c>
      <c r="B1399" s="187">
        <f>C1399*1.02</f>
        <v>30.6</v>
      </c>
      <c r="C1399" s="153">
        <v>30</v>
      </c>
      <c r="D1399" s="142"/>
      <c r="E1399" s="161"/>
      <c r="F1399" s="161"/>
      <c r="G1399" s="161"/>
      <c r="H1399" s="142"/>
      <c r="I1399" s="306"/>
      <c r="J1399" s="306"/>
    </row>
    <row r="1400" spans="1:10" ht="24.75" customHeight="1">
      <c r="A1400" s="123" t="s">
        <v>226</v>
      </c>
      <c r="B1400" s="94">
        <f>C1400*1.05</f>
        <v>31.5</v>
      </c>
      <c r="C1400" s="16">
        <v>30</v>
      </c>
      <c r="D1400" s="42"/>
      <c r="E1400" s="50"/>
      <c r="F1400" s="50"/>
      <c r="G1400" s="50"/>
      <c r="H1400" s="42"/>
      <c r="I1400" s="307"/>
      <c r="J1400" s="306"/>
    </row>
    <row r="1401" spans="1:10" ht="24.75" customHeight="1">
      <c r="A1401" s="115" t="s">
        <v>123</v>
      </c>
      <c r="B1401" s="140">
        <f>C1401*1.19</f>
        <v>3.57</v>
      </c>
      <c r="C1401" s="42">
        <v>3</v>
      </c>
      <c r="D1401" s="42"/>
      <c r="E1401" s="50"/>
      <c r="F1401" s="50"/>
      <c r="G1401" s="50"/>
      <c r="H1401" s="42"/>
      <c r="I1401" s="307"/>
      <c r="J1401" s="306"/>
    </row>
    <row r="1402" spans="1:10" ht="24.75" customHeight="1">
      <c r="A1402" s="115" t="s">
        <v>114</v>
      </c>
      <c r="B1402" s="140">
        <f>C1402*1.25</f>
        <v>3.75</v>
      </c>
      <c r="C1402" s="42">
        <v>3</v>
      </c>
      <c r="D1402" s="42"/>
      <c r="E1402" s="50"/>
      <c r="F1402" s="50"/>
      <c r="G1402" s="50"/>
      <c r="H1402" s="42"/>
      <c r="I1402" s="307"/>
      <c r="J1402" s="306"/>
    </row>
    <row r="1403" spans="1:10" ht="24.75" customHeight="1">
      <c r="A1403" s="115" t="s">
        <v>20</v>
      </c>
      <c r="B1403" s="16">
        <v>4</v>
      </c>
      <c r="C1403" s="16">
        <v>4</v>
      </c>
      <c r="D1403" s="42"/>
      <c r="E1403" s="50"/>
      <c r="F1403" s="50"/>
      <c r="G1403" s="50"/>
      <c r="H1403" s="42"/>
      <c r="I1403" s="307"/>
      <c r="J1403" s="306"/>
    </row>
    <row r="1404" spans="1:10" ht="24.75" customHeight="1">
      <c r="A1404" s="454" t="s">
        <v>488</v>
      </c>
      <c r="B1404" s="454"/>
      <c r="C1404" s="454"/>
      <c r="D1404" s="43" t="s">
        <v>478</v>
      </c>
      <c r="E1404" s="54">
        <v>5.1</v>
      </c>
      <c r="F1404" s="54">
        <v>4.9</v>
      </c>
      <c r="G1404" s="54">
        <v>12</v>
      </c>
      <c r="H1404" s="45">
        <f>E1404*4+F1404*9+G1404*4</f>
        <v>112.5</v>
      </c>
      <c r="I1404" s="307">
        <v>0.14285714285714285</v>
      </c>
      <c r="J1404" s="306" t="s">
        <v>524</v>
      </c>
    </row>
    <row r="1405" spans="1:10" ht="24.75" customHeight="1">
      <c r="A1405" s="123" t="s">
        <v>28</v>
      </c>
      <c r="B1405" s="112">
        <v>19</v>
      </c>
      <c r="C1405" s="112">
        <v>19</v>
      </c>
      <c r="D1405" s="191"/>
      <c r="E1405" s="191"/>
      <c r="F1405" s="191"/>
      <c r="G1405" s="191"/>
      <c r="H1405" s="193"/>
      <c r="I1405" s="321"/>
      <c r="J1405" s="319"/>
    </row>
    <row r="1406" spans="1:10" ht="24.75" customHeight="1">
      <c r="A1406" s="115" t="s">
        <v>29</v>
      </c>
      <c r="B1406" s="112">
        <v>4</v>
      </c>
      <c r="C1406" s="112">
        <v>4</v>
      </c>
      <c r="D1406" s="191"/>
      <c r="E1406" s="191"/>
      <c r="F1406" s="191"/>
      <c r="G1406" s="191"/>
      <c r="H1406" s="191"/>
      <c r="I1406" s="191"/>
      <c r="J1406" s="319"/>
    </row>
    <row r="1407" spans="1:10" ht="24.75" customHeight="1">
      <c r="A1407" s="115" t="s">
        <v>110</v>
      </c>
      <c r="B1407" s="112">
        <v>5</v>
      </c>
      <c r="C1407" s="112">
        <v>5</v>
      </c>
      <c r="D1407" s="191"/>
      <c r="E1407" s="191"/>
      <c r="F1407" s="191"/>
      <c r="G1407" s="191"/>
      <c r="H1407" s="193"/>
      <c r="I1407" s="321"/>
      <c r="J1407" s="319"/>
    </row>
    <row r="1408" spans="1:10" ht="24.75" customHeight="1">
      <c r="A1408" s="190" t="s">
        <v>150</v>
      </c>
      <c r="B1408" s="112">
        <v>0.5</v>
      </c>
      <c r="C1408" s="112">
        <v>0.5</v>
      </c>
      <c r="D1408" s="191"/>
      <c r="E1408" s="191"/>
      <c r="F1408" s="192"/>
      <c r="G1408" s="192"/>
      <c r="H1408" s="193"/>
      <c r="I1408" s="321"/>
      <c r="J1408" s="319"/>
    </row>
    <row r="1409" spans="1:10" ht="24.75" customHeight="1">
      <c r="A1409" s="141" t="s">
        <v>171</v>
      </c>
      <c r="B1409" s="112">
        <v>20</v>
      </c>
      <c r="C1409" s="112">
        <v>20</v>
      </c>
      <c r="D1409" s="191"/>
      <c r="E1409" s="191"/>
      <c r="F1409" s="191"/>
      <c r="G1409" s="191"/>
      <c r="H1409" s="193"/>
      <c r="I1409" s="321"/>
      <c r="J1409" s="319"/>
    </row>
    <row r="1410" spans="1:10" ht="24.75" customHeight="1">
      <c r="A1410" s="123" t="s">
        <v>25</v>
      </c>
      <c r="B1410" s="140">
        <f>C1410*1.25</f>
        <v>12.5</v>
      </c>
      <c r="C1410" s="112">
        <v>10</v>
      </c>
      <c r="D1410" s="191"/>
      <c r="E1410" s="191"/>
      <c r="F1410" s="192"/>
      <c r="G1410" s="192"/>
      <c r="H1410" s="193"/>
      <c r="I1410" s="321"/>
      <c r="J1410" s="319"/>
    </row>
    <row r="1411" spans="1:10" ht="24.75" customHeight="1">
      <c r="A1411" s="123" t="s">
        <v>19</v>
      </c>
      <c r="B1411" s="94">
        <f>C1411*1.33</f>
        <v>13.3</v>
      </c>
      <c r="C1411" s="112">
        <v>10</v>
      </c>
      <c r="D1411" s="191"/>
      <c r="E1411" s="191"/>
      <c r="F1411" s="192"/>
      <c r="G1411" s="192"/>
      <c r="H1411" s="193"/>
      <c r="I1411" s="321"/>
      <c r="J1411" s="319"/>
    </row>
    <row r="1412" spans="1:10" ht="24.75" customHeight="1">
      <c r="A1412" s="123" t="s">
        <v>26</v>
      </c>
      <c r="B1412" s="94">
        <f>C1412*1.19</f>
        <v>11.899999999999999</v>
      </c>
      <c r="C1412" s="112">
        <v>10</v>
      </c>
      <c r="D1412" s="191"/>
      <c r="E1412" s="191"/>
      <c r="F1412" s="192"/>
      <c r="G1412" s="192"/>
      <c r="H1412" s="193"/>
      <c r="I1412" s="321"/>
      <c r="J1412" s="319"/>
    </row>
    <row r="1413" spans="1:10" ht="24.75" customHeight="1">
      <c r="A1413" s="195" t="s">
        <v>52</v>
      </c>
      <c r="B1413" s="23">
        <v>16</v>
      </c>
      <c r="C1413" s="42">
        <v>14</v>
      </c>
      <c r="D1413" s="42"/>
      <c r="E1413" s="42"/>
      <c r="F1413" s="50"/>
      <c r="G1413" s="50"/>
      <c r="H1413" s="42"/>
      <c r="I1413" s="307"/>
      <c r="J1413" s="306"/>
    </row>
    <row r="1414" spans="1:10" ht="24.75" customHeight="1">
      <c r="A1414" s="123" t="s">
        <v>27</v>
      </c>
      <c r="B1414" s="112">
        <v>6</v>
      </c>
      <c r="C1414" s="112">
        <v>6</v>
      </c>
      <c r="D1414" s="191"/>
      <c r="E1414" s="192"/>
      <c r="F1414" s="192"/>
      <c r="G1414" s="192"/>
      <c r="H1414" s="193"/>
      <c r="I1414" s="321"/>
      <c r="J1414" s="319"/>
    </row>
    <row r="1415" spans="1:10" ht="24.75" customHeight="1">
      <c r="A1415" s="123" t="s">
        <v>70</v>
      </c>
      <c r="B1415" s="94">
        <v>3</v>
      </c>
      <c r="C1415" s="94">
        <v>2</v>
      </c>
      <c r="D1415" s="193"/>
      <c r="E1415" s="191"/>
      <c r="F1415" s="140"/>
      <c r="G1415" s="140"/>
      <c r="H1415" s="94"/>
      <c r="I1415" s="316"/>
      <c r="J1415" s="317"/>
    </row>
    <row r="1416" spans="1:10" ht="24.75" customHeight="1">
      <c r="A1416" s="454" t="s">
        <v>467</v>
      </c>
      <c r="B1416" s="454"/>
      <c r="C1416" s="454"/>
      <c r="D1416" s="155">
        <v>90</v>
      </c>
      <c r="E1416" s="144">
        <v>10.4</v>
      </c>
      <c r="F1416" s="144">
        <v>10.3</v>
      </c>
      <c r="G1416" s="144">
        <v>8.5</v>
      </c>
      <c r="H1416" s="152">
        <f>E1416*4+F1416*9+G1416*4</f>
        <v>168.3</v>
      </c>
      <c r="I1416" s="306">
        <v>0.27</v>
      </c>
      <c r="J1416" s="306" t="s">
        <v>470</v>
      </c>
    </row>
    <row r="1417" spans="1:10" ht="24.75" customHeight="1">
      <c r="A1417" s="195" t="s">
        <v>62</v>
      </c>
      <c r="B1417" s="196">
        <f>C1417*1.36</f>
        <v>77.52000000000001</v>
      </c>
      <c r="C1417" s="183">
        <v>57</v>
      </c>
      <c r="D1417" s="201"/>
      <c r="E1417" s="201"/>
      <c r="F1417" s="200"/>
      <c r="G1417" s="200"/>
      <c r="H1417" s="201"/>
      <c r="I1417" s="309"/>
      <c r="J1417" s="317"/>
    </row>
    <row r="1418" spans="1:10" ht="24.75" customHeight="1">
      <c r="A1418" s="117" t="s">
        <v>74</v>
      </c>
      <c r="B1418" s="196">
        <f>C1418*1.18</f>
        <v>67.25999999999999</v>
      </c>
      <c r="C1418" s="183">
        <v>57</v>
      </c>
      <c r="D1418" s="201"/>
      <c r="E1418" s="200"/>
      <c r="F1418" s="200"/>
      <c r="G1418" s="201"/>
      <c r="H1418" s="201"/>
      <c r="I1418" s="309"/>
      <c r="J1418" s="317"/>
    </row>
    <row r="1419" spans="1:10" ht="24.75" customHeight="1">
      <c r="A1419" s="117" t="s">
        <v>414</v>
      </c>
      <c r="B1419" s="196">
        <f>C1419</f>
        <v>57</v>
      </c>
      <c r="C1419" s="183">
        <v>57</v>
      </c>
      <c r="D1419" s="201"/>
      <c r="E1419" s="201"/>
      <c r="F1419" s="201"/>
      <c r="G1419" s="201"/>
      <c r="H1419" s="201"/>
      <c r="I1419" s="309"/>
      <c r="J1419" s="317"/>
    </row>
    <row r="1420" spans="1:10" ht="24.75" customHeight="1">
      <c r="A1420" s="139" t="s">
        <v>584</v>
      </c>
      <c r="B1420" s="187">
        <v>12</v>
      </c>
      <c r="C1420" s="183">
        <v>12</v>
      </c>
      <c r="D1420" s="201"/>
      <c r="E1420" s="187"/>
      <c r="F1420" s="187"/>
      <c r="G1420" s="187"/>
      <c r="H1420" s="187"/>
      <c r="I1420" s="317"/>
      <c r="J1420" s="317"/>
    </row>
    <row r="1421" spans="1:10" ht="34.5" customHeight="1">
      <c r="A1421" s="436" t="s">
        <v>206</v>
      </c>
      <c r="B1421" s="199">
        <v>18</v>
      </c>
      <c r="C1421" s="183">
        <v>18</v>
      </c>
      <c r="D1421" s="201"/>
      <c r="E1421" s="201"/>
      <c r="F1421" s="200"/>
      <c r="G1421" s="200"/>
      <c r="H1421" s="201"/>
      <c r="I1421" s="309"/>
      <c r="J1421" s="317"/>
    </row>
    <row r="1422" spans="1:10" ht="25.5" customHeight="1">
      <c r="A1422" s="341" t="s">
        <v>26</v>
      </c>
      <c r="B1422" s="201">
        <f>C1422*1.19</f>
        <v>35.699999999999996</v>
      </c>
      <c r="C1422" s="183">
        <v>30</v>
      </c>
      <c r="D1422" s="201"/>
      <c r="E1422" s="201"/>
      <c r="F1422" s="200"/>
      <c r="G1422" s="200"/>
      <c r="H1422" s="201"/>
      <c r="I1422" s="309"/>
      <c r="J1422" s="317"/>
    </row>
    <row r="1423" spans="1:10" ht="18.75" customHeight="1">
      <c r="A1423" s="202" t="s">
        <v>20</v>
      </c>
      <c r="B1423" s="199">
        <v>5</v>
      </c>
      <c r="C1423" s="199">
        <v>5</v>
      </c>
      <c r="D1423" s="201"/>
      <c r="E1423" s="201"/>
      <c r="F1423" s="200"/>
      <c r="G1423" s="200"/>
      <c r="H1423" s="201"/>
      <c r="I1423" s="309"/>
      <c r="J1423" s="317"/>
    </row>
    <row r="1424" spans="1:10" ht="24.75" customHeight="1">
      <c r="A1424" s="346" t="s">
        <v>468</v>
      </c>
      <c r="B1424" s="199"/>
      <c r="C1424" s="199">
        <v>15</v>
      </c>
      <c r="D1424" s="201"/>
      <c r="E1424" s="201"/>
      <c r="F1424" s="200"/>
      <c r="G1424" s="200"/>
      <c r="H1424" s="201"/>
      <c r="I1424" s="309"/>
      <c r="J1424" s="317"/>
    </row>
    <row r="1425" spans="1:10" ht="24.75" customHeight="1">
      <c r="A1425" s="346" t="s">
        <v>28</v>
      </c>
      <c r="B1425" s="199">
        <v>6</v>
      </c>
      <c r="C1425" s="199">
        <v>6</v>
      </c>
      <c r="D1425" s="201"/>
      <c r="E1425" s="201"/>
      <c r="F1425" s="200"/>
      <c r="G1425" s="200"/>
      <c r="H1425" s="201"/>
      <c r="I1425" s="309"/>
      <c r="J1425" s="317"/>
    </row>
    <row r="1426" spans="1:10" ht="24.75" customHeight="1">
      <c r="A1426" s="202" t="s">
        <v>20</v>
      </c>
      <c r="B1426" s="199">
        <v>2</v>
      </c>
      <c r="C1426" s="199">
        <v>2</v>
      </c>
      <c r="D1426" s="201"/>
      <c r="E1426" s="201"/>
      <c r="F1426" s="200"/>
      <c r="G1426" s="200"/>
      <c r="H1426" s="201"/>
      <c r="I1426" s="309"/>
      <c r="J1426" s="317"/>
    </row>
    <row r="1427" spans="1:10" ht="24.75" customHeight="1">
      <c r="A1427" s="371" t="s">
        <v>448</v>
      </c>
      <c r="B1427" s="155"/>
      <c r="C1427" s="155"/>
      <c r="D1427" s="293">
        <v>50</v>
      </c>
      <c r="E1427" s="144">
        <v>0.4</v>
      </c>
      <c r="F1427" s="144">
        <v>1.7</v>
      </c>
      <c r="G1427" s="144">
        <v>2.7</v>
      </c>
      <c r="H1427" s="152">
        <v>28</v>
      </c>
      <c r="I1427" s="306">
        <v>0</v>
      </c>
      <c r="J1427" s="317" t="s">
        <v>469</v>
      </c>
    </row>
    <row r="1428" spans="1:10" ht="24.75" customHeight="1">
      <c r="A1428" s="343" t="s">
        <v>28</v>
      </c>
      <c r="B1428" s="48">
        <v>2</v>
      </c>
      <c r="C1428" s="48">
        <v>2</v>
      </c>
      <c r="D1428" s="395"/>
      <c r="E1428" s="396"/>
      <c r="F1428" s="396"/>
      <c r="G1428" s="396"/>
      <c r="H1428" s="397"/>
      <c r="I1428" s="398"/>
      <c r="J1428" s="297"/>
    </row>
    <row r="1429" spans="1:10" ht="24.75" customHeight="1">
      <c r="A1429" s="115" t="s">
        <v>110</v>
      </c>
      <c r="B1429" s="48">
        <v>37.5</v>
      </c>
      <c r="C1429" s="48">
        <v>37.5</v>
      </c>
      <c r="D1429" s="395"/>
      <c r="E1429" s="396"/>
      <c r="F1429" s="396"/>
      <c r="G1429" s="396"/>
      <c r="H1429" s="397"/>
      <c r="I1429" s="398"/>
      <c r="J1429" s="297"/>
    </row>
    <row r="1430" spans="1:10" ht="24.75" customHeight="1">
      <c r="A1430" s="115" t="s">
        <v>27</v>
      </c>
      <c r="B1430" s="48">
        <v>3</v>
      </c>
      <c r="C1430" s="48">
        <v>3</v>
      </c>
      <c r="D1430" s="395"/>
      <c r="E1430" s="396"/>
      <c r="F1430" s="396"/>
      <c r="G1430" s="396"/>
      <c r="H1430" s="397"/>
      <c r="I1430" s="398"/>
      <c r="J1430" s="297"/>
    </row>
    <row r="1431" spans="1:10" ht="24.75" customHeight="1">
      <c r="A1431" s="343" t="s">
        <v>25</v>
      </c>
      <c r="B1431" s="396">
        <f>C1431*1.25</f>
        <v>3.75</v>
      </c>
      <c r="C1431" s="48">
        <v>3</v>
      </c>
      <c r="D1431" s="395"/>
      <c r="E1431" s="396"/>
      <c r="F1431" s="396"/>
      <c r="G1431" s="396"/>
      <c r="H1431" s="397"/>
      <c r="I1431" s="398"/>
      <c r="J1431" s="297"/>
    </row>
    <row r="1432" spans="1:10" ht="24.75" customHeight="1">
      <c r="A1432" s="343" t="s">
        <v>19</v>
      </c>
      <c r="B1432" s="50">
        <f>C1432*1.33</f>
        <v>3.99</v>
      </c>
      <c r="C1432" s="48">
        <v>3</v>
      </c>
      <c r="D1432" s="395"/>
      <c r="E1432" s="396"/>
      <c r="F1432" s="396"/>
      <c r="G1432" s="396"/>
      <c r="H1432" s="397"/>
      <c r="I1432" s="398"/>
      <c r="J1432" s="297"/>
    </row>
    <row r="1433" spans="1:10" ht="24.75" customHeight="1">
      <c r="A1433" s="115" t="s">
        <v>26</v>
      </c>
      <c r="B1433" s="396">
        <f>C1433*1.19</f>
        <v>1.19</v>
      </c>
      <c r="C1433" s="48">
        <v>1</v>
      </c>
      <c r="D1433" s="395"/>
      <c r="E1433" s="396"/>
      <c r="F1433" s="396"/>
      <c r="G1433" s="396"/>
      <c r="H1433" s="397"/>
      <c r="I1433" s="297"/>
      <c r="J1433" s="297"/>
    </row>
    <row r="1434" spans="1:10" ht="34.5" customHeight="1">
      <c r="A1434" s="171" t="s">
        <v>421</v>
      </c>
      <c r="B1434" s="48">
        <v>5</v>
      </c>
      <c r="C1434" s="48">
        <v>5</v>
      </c>
      <c r="D1434" s="395"/>
      <c r="E1434" s="396"/>
      <c r="F1434" s="396"/>
      <c r="G1434" s="396"/>
      <c r="H1434" s="397"/>
      <c r="I1434" s="297"/>
      <c r="J1434" s="297"/>
    </row>
    <row r="1435" spans="1:10" ht="16.5" customHeight="1">
      <c r="A1435" s="115" t="s">
        <v>12</v>
      </c>
      <c r="B1435" s="48">
        <v>1</v>
      </c>
      <c r="C1435" s="48">
        <v>1</v>
      </c>
      <c r="D1435" s="395"/>
      <c r="E1435" s="396"/>
      <c r="F1435" s="396"/>
      <c r="G1435" s="396"/>
      <c r="H1435" s="397"/>
      <c r="I1435" s="297"/>
      <c r="J1435" s="297"/>
    </row>
    <row r="1436" spans="1:11" ht="24.75" customHeight="1">
      <c r="A1436" s="461" t="s">
        <v>251</v>
      </c>
      <c r="B1436" s="461"/>
      <c r="C1436" s="461"/>
      <c r="D1436" s="41">
        <v>150</v>
      </c>
      <c r="E1436" s="44">
        <v>3.4499999999999997</v>
      </c>
      <c r="F1436" s="44">
        <v>6.461538461538462</v>
      </c>
      <c r="G1436" s="44">
        <v>16.049999999999997</v>
      </c>
      <c r="H1436" s="45">
        <f>E1436*4+F1436*9+G1436*4</f>
        <v>136.15384615384613</v>
      </c>
      <c r="I1436" s="307">
        <v>7.6725</v>
      </c>
      <c r="J1436" s="306" t="s">
        <v>525</v>
      </c>
      <c r="K1436" s="246"/>
    </row>
    <row r="1437" spans="1:11" ht="24.75" customHeight="1">
      <c r="A1437" s="184" t="s">
        <v>21</v>
      </c>
      <c r="B1437" s="187">
        <f>C1437*1.33</f>
        <v>114.38000000000001</v>
      </c>
      <c r="C1437" s="153">
        <v>86</v>
      </c>
      <c r="D1437" s="441" t="s">
        <v>587</v>
      </c>
      <c r="E1437" s="151">
        <v>84</v>
      </c>
      <c r="F1437" s="145"/>
      <c r="G1437" s="145"/>
      <c r="H1437" s="152"/>
      <c r="I1437" s="306"/>
      <c r="J1437" s="306"/>
      <c r="K1437" s="246"/>
    </row>
    <row r="1438" spans="1:10" ht="24.75" customHeight="1">
      <c r="A1438" s="123" t="s">
        <v>22</v>
      </c>
      <c r="B1438" s="94">
        <f>C1438*1.43</f>
        <v>122.97999999999999</v>
      </c>
      <c r="C1438" s="153">
        <v>86</v>
      </c>
      <c r="D1438" s="45"/>
      <c r="E1438" s="41"/>
      <c r="F1438" s="41"/>
      <c r="G1438" s="41"/>
      <c r="H1438" s="45"/>
      <c r="I1438" s="307"/>
      <c r="J1438" s="306"/>
    </row>
    <row r="1439" spans="1:10" ht="24.75" customHeight="1">
      <c r="A1439" s="123" t="s">
        <v>23</v>
      </c>
      <c r="B1439" s="94">
        <f>C1439*1.54</f>
        <v>132.44</v>
      </c>
      <c r="C1439" s="153">
        <v>86</v>
      </c>
      <c r="D1439" s="45"/>
      <c r="E1439" s="41"/>
      <c r="F1439" s="44"/>
      <c r="G1439" s="44"/>
      <c r="H1439" s="45"/>
      <c r="I1439" s="307"/>
      <c r="J1439" s="306"/>
    </row>
    <row r="1440" spans="1:10" ht="24.75" customHeight="1">
      <c r="A1440" s="123" t="s">
        <v>24</v>
      </c>
      <c r="B1440" s="94">
        <f>C1440*1.67</f>
        <v>143.62</v>
      </c>
      <c r="C1440" s="153">
        <v>86</v>
      </c>
      <c r="D1440" s="45"/>
      <c r="E1440" s="41"/>
      <c r="F1440" s="44"/>
      <c r="G1440" s="44"/>
      <c r="H1440" s="45"/>
      <c r="I1440" s="307"/>
      <c r="J1440" s="306"/>
    </row>
    <row r="1441" spans="1:10" ht="24.75" customHeight="1">
      <c r="A1441" s="123" t="s">
        <v>25</v>
      </c>
      <c r="B1441" s="140">
        <f>C1441*1.25</f>
        <v>23.75</v>
      </c>
      <c r="C1441" s="94">
        <v>19</v>
      </c>
      <c r="D1441" s="441" t="s">
        <v>587</v>
      </c>
      <c r="E1441" s="41">
        <v>17</v>
      </c>
      <c r="F1441" s="140"/>
      <c r="G1441" s="140"/>
      <c r="H1441" s="94"/>
      <c r="I1441" s="316"/>
      <c r="J1441" s="317"/>
    </row>
    <row r="1442" spans="1:10" ht="24.75" customHeight="1">
      <c r="A1442" s="123" t="s">
        <v>19</v>
      </c>
      <c r="B1442" s="140">
        <f>C1442*1.33</f>
        <v>25.270000000000003</v>
      </c>
      <c r="C1442" s="94">
        <v>19</v>
      </c>
      <c r="D1442" s="45"/>
      <c r="E1442" s="41"/>
      <c r="F1442" s="140"/>
      <c r="G1442" s="140"/>
      <c r="H1442" s="94"/>
      <c r="I1442" s="316"/>
      <c r="J1442" s="317"/>
    </row>
    <row r="1443" spans="1:10" ht="24.75" customHeight="1">
      <c r="A1443" s="123" t="s">
        <v>26</v>
      </c>
      <c r="B1443" s="94">
        <f>C1443*1.19</f>
        <v>20.23</v>
      </c>
      <c r="C1443" s="94">
        <v>17</v>
      </c>
      <c r="D1443" s="441" t="s">
        <v>587</v>
      </c>
      <c r="E1443" s="41">
        <v>8</v>
      </c>
      <c r="F1443" s="140"/>
      <c r="G1443" s="140"/>
      <c r="H1443" s="94"/>
      <c r="I1443" s="316"/>
      <c r="J1443" s="317"/>
    </row>
    <row r="1444" spans="1:10" ht="24.75" customHeight="1">
      <c r="A1444" s="139" t="s">
        <v>46</v>
      </c>
      <c r="B1444" s="94">
        <f>C1444*1.25</f>
        <v>56.25</v>
      </c>
      <c r="C1444" s="94">
        <v>45</v>
      </c>
      <c r="D1444" s="441" t="s">
        <v>587</v>
      </c>
      <c r="E1444" s="41">
        <v>41</v>
      </c>
      <c r="F1444" s="140"/>
      <c r="G1444" s="140"/>
      <c r="H1444" s="94"/>
      <c r="I1444" s="316"/>
      <c r="J1444" s="317"/>
    </row>
    <row r="1445" spans="1:10" ht="24.75" customHeight="1">
      <c r="A1445" s="141" t="s">
        <v>145</v>
      </c>
      <c r="B1445" s="112">
        <v>56</v>
      </c>
      <c r="C1445" s="112">
        <v>55</v>
      </c>
      <c r="D1445" s="45"/>
      <c r="E1445" s="41"/>
      <c r="F1445" s="140"/>
      <c r="G1445" s="140"/>
      <c r="H1445" s="94"/>
      <c r="I1445" s="316"/>
      <c r="J1445" s="317"/>
    </row>
    <row r="1446" spans="1:10" ht="24.75" customHeight="1">
      <c r="A1446" s="123" t="s">
        <v>27</v>
      </c>
      <c r="B1446" s="112">
        <v>10</v>
      </c>
      <c r="C1446" s="112">
        <v>10</v>
      </c>
      <c r="D1446" s="45"/>
      <c r="E1446" s="41"/>
      <c r="F1446" s="140"/>
      <c r="G1446" s="140"/>
      <c r="H1446" s="94"/>
      <c r="I1446" s="316"/>
      <c r="J1446" s="317"/>
    </row>
    <row r="1447" spans="1:10" ht="24.75" customHeight="1">
      <c r="A1447" s="49" t="s">
        <v>194</v>
      </c>
      <c r="B1447" s="49"/>
      <c r="C1447" s="49"/>
      <c r="D1447" s="41">
        <v>200</v>
      </c>
      <c r="E1447" s="44">
        <v>0.1</v>
      </c>
      <c r="F1447" s="44">
        <v>0.1</v>
      </c>
      <c r="G1447" s="44">
        <v>16.1</v>
      </c>
      <c r="H1447" s="45">
        <f>E1447*4+F1447*9+G1447*4</f>
        <v>65.7</v>
      </c>
      <c r="I1447" s="307">
        <v>1.5</v>
      </c>
      <c r="J1447" s="306" t="s">
        <v>348</v>
      </c>
    </row>
    <row r="1448" spans="1:10" ht="24.75" customHeight="1">
      <c r="A1448" s="114" t="s">
        <v>192</v>
      </c>
      <c r="B1448" s="48">
        <v>17.5</v>
      </c>
      <c r="C1448" s="48">
        <v>15</v>
      </c>
      <c r="D1448" s="49"/>
      <c r="E1448" s="49"/>
      <c r="F1448" s="149"/>
      <c r="G1448" s="149"/>
      <c r="H1448" s="122"/>
      <c r="I1448" s="315"/>
      <c r="J1448" s="351"/>
    </row>
    <row r="1449" spans="1:10" ht="24.75" customHeight="1">
      <c r="A1449" s="141" t="s">
        <v>202</v>
      </c>
      <c r="B1449" s="140">
        <f>C1449*1.14</f>
        <v>17.099999999999998</v>
      </c>
      <c r="C1449" s="48">
        <v>15</v>
      </c>
      <c r="D1449" s="49"/>
      <c r="E1449" s="122"/>
      <c r="F1449" s="122"/>
      <c r="G1449" s="122"/>
      <c r="H1449" s="122"/>
      <c r="I1449" s="315"/>
      <c r="J1449" s="351"/>
    </row>
    <row r="1450" spans="1:10" ht="15" customHeight="1">
      <c r="A1450" s="184" t="s">
        <v>12</v>
      </c>
      <c r="B1450" s="162">
        <v>15</v>
      </c>
      <c r="C1450" s="162">
        <v>15</v>
      </c>
      <c r="D1450" s="294"/>
      <c r="E1450" s="294"/>
      <c r="F1450" s="294"/>
      <c r="G1450" s="294"/>
      <c r="H1450" s="294"/>
      <c r="I1450" s="294"/>
      <c r="J1450" s="351"/>
    </row>
    <row r="1451" spans="1:10" ht="19.5" customHeight="1">
      <c r="A1451" s="461" t="s">
        <v>258</v>
      </c>
      <c r="B1451" s="461"/>
      <c r="C1451" s="461"/>
      <c r="D1451" s="151">
        <v>40</v>
      </c>
      <c r="E1451" s="145">
        <v>3.2800000000000002</v>
      </c>
      <c r="F1451" s="145">
        <v>0.56</v>
      </c>
      <c r="G1451" s="145">
        <v>15.2</v>
      </c>
      <c r="H1451" s="152">
        <v>78.4</v>
      </c>
      <c r="I1451" s="306">
        <v>0</v>
      </c>
      <c r="J1451" s="306"/>
    </row>
    <row r="1452" spans="1:10" ht="17.25" customHeight="1">
      <c r="A1452" s="461" t="s">
        <v>72</v>
      </c>
      <c r="B1452" s="461"/>
      <c r="C1452" s="461"/>
      <c r="D1452" s="151">
        <v>60</v>
      </c>
      <c r="E1452" s="145">
        <v>3.96</v>
      </c>
      <c r="F1452" s="145">
        <v>0.72</v>
      </c>
      <c r="G1452" s="145">
        <v>20.04</v>
      </c>
      <c r="H1452" s="152">
        <v>102.48</v>
      </c>
      <c r="I1452" s="306">
        <v>0</v>
      </c>
      <c r="J1452" s="306"/>
    </row>
    <row r="1453" spans="1:10" ht="19.5" customHeight="1">
      <c r="A1453" s="466" t="s">
        <v>61</v>
      </c>
      <c r="B1453" s="466"/>
      <c r="C1453" s="466"/>
      <c r="D1453" s="466"/>
      <c r="E1453" s="128">
        <f>E1454+E1472</f>
        <v>1.6</v>
      </c>
      <c r="F1453" s="128">
        <f>F1454+F1472</f>
        <v>1.6</v>
      </c>
      <c r="G1453" s="128">
        <f>G1454+G1472</f>
        <v>68.6</v>
      </c>
      <c r="H1453" s="116">
        <f>H1454+H1472</f>
        <v>295.20000000000005</v>
      </c>
      <c r="I1453" s="128">
        <f>I1454+I1472</f>
        <v>19</v>
      </c>
      <c r="J1453" s="159"/>
    </row>
    <row r="1454" spans="1:10" ht="38.25" customHeight="1" hidden="1">
      <c r="A1454" s="462" t="s">
        <v>398</v>
      </c>
      <c r="B1454" s="462"/>
      <c r="C1454" s="462"/>
      <c r="D1454" s="143">
        <v>90</v>
      </c>
      <c r="E1454" s="144">
        <v>1.5</v>
      </c>
      <c r="F1454" s="144">
        <v>1.6</v>
      </c>
      <c r="G1454" s="144">
        <v>46.6</v>
      </c>
      <c r="H1454" s="152">
        <f>E1454*4+F1454*9+G1454*4</f>
        <v>206.8</v>
      </c>
      <c r="I1454" s="306">
        <v>0</v>
      </c>
      <c r="J1454" s="306"/>
    </row>
    <row r="1455" spans="1:10" ht="24.75" customHeight="1" hidden="1">
      <c r="A1455" s="463" t="s">
        <v>399</v>
      </c>
      <c r="B1455" s="464"/>
      <c r="C1455" s="465"/>
      <c r="D1455" s="143"/>
      <c r="E1455" s="54"/>
      <c r="F1455" s="54"/>
      <c r="G1455" s="54"/>
      <c r="H1455" s="45"/>
      <c r="I1455" s="307"/>
      <c r="J1455" s="306"/>
    </row>
    <row r="1456" spans="1:10" ht="24.75" customHeight="1" hidden="1">
      <c r="A1456" s="517" t="s">
        <v>259</v>
      </c>
      <c r="B1456" s="518"/>
      <c r="C1456" s="518"/>
      <c r="D1456" s="518"/>
      <c r="E1456" s="518"/>
      <c r="F1456" s="518"/>
      <c r="G1456" s="518"/>
      <c r="H1456" s="518"/>
      <c r="I1456" s="518"/>
      <c r="J1456" s="519"/>
    </row>
    <row r="1457" spans="1:10" ht="24.75" customHeight="1">
      <c r="A1457" s="520" t="s">
        <v>512</v>
      </c>
      <c r="B1457" s="520"/>
      <c r="C1457" s="520"/>
      <c r="D1457" s="262">
        <v>90</v>
      </c>
      <c r="E1457" s="145">
        <v>2.5</v>
      </c>
      <c r="F1457" s="145">
        <v>5.9</v>
      </c>
      <c r="G1457" s="145">
        <v>46.2</v>
      </c>
      <c r="H1457" s="152">
        <f>E1457*4+F1457*9+G1457*4</f>
        <v>247.9</v>
      </c>
      <c r="I1457" s="306">
        <v>0.42</v>
      </c>
      <c r="J1457" s="363" t="s">
        <v>511</v>
      </c>
    </row>
    <row r="1458" spans="1:10" ht="24.75" customHeight="1">
      <c r="A1458" s="139" t="s">
        <v>28</v>
      </c>
      <c r="B1458" s="153">
        <v>35</v>
      </c>
      <c r="C1458" s="153">
        <v>35</v>
      </c>
      <c r="D1458" s="262"/>
      <c r="E1458" s="145"/>
      <c r="F1458" s="145"/>
      <c r="G1458" s="145"/>
      <c r="H1458" s="152"/>
      <c r="I1458" s="306"/>
      <c r="J1458" s="306"/>
    </row>
    <row r="1459" spans="1:10" ht="24.75" customHeight="1">
      <c r="A1459" s="139" t="s">
        <v>149</v>
      </c>
      <c r="B1459" s="153">
        <v>17</v>
      </c>
      <c r="C1459" s="153">
        <v>17</v>
      </c>
      <c r="D1459" s="262"/>
      <c r="E1459" s="145"/>
      <c r="F1459" s="145"/>
      <c r="G1459" s="145"/>
      <c r="H1459" s="152"/>
      <c r="I1459" s="306"/>
      <c r="J1459" s="306"/>
    </row>
    <row r="1460" spans="1:10" ht="24.75" customHeight="1">
      <c r="A1460" s="139" t="s">
        <v>12</v>
      </c>
      <c r="B1460" s="153">
        <v>4</v>
      </c>
      <c r="C1460" s="153">
        <v>4</v>
      </c>
      <c r="D1460" s="262"/>
      <c r="E1460" s="145"/>
      <c r="F1460" s="145"/>
      <c r="G1460" s="145"/>
      <c r="H1460" s="152"/>
      <c r="I1460" s="306"/>
      <c r="J1460" s="306"/>
    </row>
    <row r="1461" spans="1:10" ht="24.75" customHeight="1">
      <c r="A1461" s="139" t="s">
        <v>27</v>
      </c>
      <c r="B1461" s="153">
        <v>6</v>
      </c>
      <c r="C1461" s="153">
        <v>6</v>
      </c>
      <c r="D1461" s="262"/>
      <c r="E1461" s="145"/>
      <c r="F1461" s="145"/>
      <c r="G1461" s="145"/>
      <c r="H1461" s="152"/>
      <c r="I1461" s="306"/>
      <c r="J1461" s="306"/>
    </row>
    <row r="1462" spans="1:10" ht="24.75" customHeight="1">
      <c r="A1462" s="115" t="s">
        <v>29</v>
      </c>
      <c r="B1462" s="153">
        <v>7</v>
      </c>
      <c r="C1462" s="153">
        <v>7</v>
      </c>
      <c r="D1462" s="262"/>
      <c r="E1462" s="145"/>
      <c r="F1462" s="145"/>
      <c r="G1462" s="145"/>
      <c r="H1462" s="152"/>
      <c r="I1462" s="306"/>
      <c r="J1462" s="306"/>
    </row>
    <row r="1463" spans="1:10" ht="24.75" customHeight="1">
      <c r="A1463" s="139" t="s">
        <v>102</v>
      </c>
      <c r="B1463" s="153">
        <v>1.4</v>
      </c>
      <c r="C1463" s="153">
        <v>1.4</v>
      </c>
      <c r="D1463" s="262"/>
      <c r="E1463" s="145"/>
      <c r="F1463" s="145"/>
      <c r="G1463" s="145"/>
      <c r="H1463" s="152"/>
      <c r="I1463" s="306"/>
      <c r="J1463" s="306"/>
    </row>
    <row r="1464" spans="1:10" ht="24.75" customHeight="1">
      <c r="A1464" s="139" t="s">
        <v>230</v>
      </c>
      <c r="B1464" s="153">
        <v>0.6</v>
      </c>
      <c r="C1464" s="153">
        <v>0.6</v>
      </c>
      <c r="D1464" s="262"/>
      <c r="E1464" s="145"/>
      <c r="F1464" s="145"/>
      <c r="G1464" s="145"/>
      <c r="H1464" s="152"/>
      <c r="I1464" s="306"/>
      <c r="J1464" s="306"/>
    </row>
    <row r="1465" spans="1:10" ht="24.75" customHeight="1">
      <c r="A1465" s="139" t="s">
        <v>150</v>
      </c>
      <c r="B1465" s="153">
        <v>0.2</v>
      </c>
      <c r="C1465" s="153">
        <v>0.2</v>
      </c>
      <c r="D1465" s="262"/>
      <c r="E1465" s="145"/>
      <c r="F1465" s="145"/>
      <c r="G1465" s="145"/>
      <c r="H1465" s="152"/>
      <c r="I1465" s="306"/>
      <c r="J1465" s="306"/>
    </row>
    <row r="1466" spans="1:10" ht="24.75" customHeight="1">
      <c r="A1466" s="121" t="s">
        <v>162</v>
      </c>
      <c r="B1466" s="153"/>
      <c r="C1466" s="151">
        <v>70</v>
      </c>
      <c r="D1466" s="262"/>
      <c r="E1466" s="145"/>
      <c r="F1466" s="145"/>
      <c r="G1466" s="145"/>
      <c r="H1466" s="152"/>
      <c r="I1466" s="306"/>
      <c r="J1466" s="306"/>
    </row>
    <row r="1467" spans="1:10" ht="24.75" customHeight="1">
      <c r="A1467" s="139" t="s">
        <v>43</v>
      </c>
      <c r="B1467" s="153">
        <v>32</v>
      </c>
      <c r="C1467" s="153">
        <v>31</v>
      </c>
      <c r="D1467" s="262"/>
      <c r="E1467" s="145"/>
      <c r="F1467" s="145"/>
      <c r="G1467" s="145"/>
      <c r="H1467" s="152"/>
      <c r="I1467" s="306"/>
      <c r="J1467" s="306"/>
    </row>
    <row r="1468" spans="1:10" ht="20.25" customHeight="1">
      <c r="A1468" s="139" t="s">
        <v>110</v>
      </c>
      <c r="B1468" s="153">
        <v>10</v>
      </c>
      <c r="C1468" s="153">
        <v>10</v>
      </c>
      <c r="D1468" s="262"/>
      <c r="E1468" s="145"/>
      <c r="F1468" s="145"/>
      <c r="G1468" s="145"/>
      <c r="H1468" s="152"/>
      <c r="I1468" s="306"/>
      <c r="J1468" s="306"/>
    </row>
    <row r="1469" spans="1:10" ht="20.25" customHeight="1">
      <c r="A1469" s="139" t="s">
        <v>12</v>
      </c>
      <c r="B1469" s="153">
        <v>5</v>
      </c>
      <c r="C1469" s="153">
        <v>5</v>
      </c>
      <c r="D1469" s="262"/>
      <c r="E1469" s="145"/>
      <c r="F1469" s="145"/>
      <c r="G1469" s="145"/>
      <c r="H1469" s="152"/>
      <c r="I1469" s="306"/>
      <c r="J1469" s="306"/>
    </row>
    <row r="1470" spans="1:10" ht="24.75" customHeight="1">
      <c r="A1470" s="160" t="s">
        <v>173</v>
      </c>
      <c r="B1470" s="153"/>
      <c r="C1470" s="151">
        <v>35</v>
      </c>
      <c r="D1470" s="262"/>
      <c r="E1470" s="145"/>
      <c r="F1470" s="145"/>
      <c r="G1470" s="145"/>
      <c r="H1470" s="152"/>
      <c r="I1470" s="306"/>
      <c r="J1470" s="306"/>
    </row>
    <row r="1471" spans="1:10" ht="34.5" customHeight="1">
      <c r="A1471" s="172" t="s">
        <v>119</v>
      </c>
      <c r="B1471" s="153">
        <v>0.5</v>
      </c>
      <c r="C1471" s="153">
        <v>0.5</v>
      </c>
      <c r="D1471" s="262"/>
      <c r="E1471" s="145"/>
      <c r="F1471" s="145"/>
      <c r="G1471" s="145"/>
      <c r="H1471" s="152"/>
      <c r="I1471" s="306"/>
      <c r="J1471" s="306"/>
    </row>
    <row r="1472" spans="1:10" ht="81.75" customHeight="1">
      <c r="A1472" s="482" t="s">
        <v>504</v>
      </c>
      <c r="B1472" s="482"/>
      <c r="C1472" s="482"/>
      <c r="D1472" s="143">
        <v>200</v>
      </c>
      <c r="E1472" s="143">
        <v>0.1</v>
      </c>
      <c r="F1472" s="144">
        <v>0</v>
      </c>
      <c r="G1472" s="144">
        <v>22</v>
      </c>
      <c r="H1472" s="152">
        <f>E1472*4+F1472*9+G1472*4</f>
        <v>88.4</v>
      </c>
      <c r="I1472" s="317">
        <v>19</v>
      </c>
      <c r="J1472" s="317" t="s">
        <v>503</v>
      </c>
    </row>
    <row r="1473" spans="1:10" ht="24.75" customHeight="1">
      <c r="A1473" s="466" t="s">
        <v>30</v>
      </c>
      <c r="B1473" s="466"/>
      <c r="C1473" s="466"/>
      <c r="D1473" s="466"/>
      <c r="E1473" s="128">
        <f>E1482+E1493+E1474+E1503+E1507+E1508+E1510+E1500</f>
        <v>18.811999999999998</v>
      </c>
      <c r="F1473" s="128">
        <f>F1482+F1493+F1474+F1503+F1507+F1508+F1510+F1500</f>
        <v>19.650000000000002</v>
      </c>
      <c r="G1473" s="128">
        <f>G1482+G1493+G1474+G1503+G1507+G1508+G1510+G1500</f>
        <v>63.64</v>
      </c>
      <c r="H1473" s="116">
        <f>H1482+H1493+H1474+H1503+H1507+H1508+H1510+H1500</f>
        <v>502.448</v>
      </c>
      <c r="I1473" s="128">
        <f>I1482+I1493+I1474+I1503+I1507+I1508+I1510+I1500</f>
        <v>20.42375</v>
      </c>
      <c r="J1473" s="128"/>
    </row>
    <row r="1474" spans="1:10" ht="24.75" customHeight="1">
      <c r="A1474" s="461" t="s">
        <v>550</v>
      </c>
      <c r="B1474" s="461"/>
      <c r="C1474" s="461"/>
      <c r="D1474" s="41">
        <v>70</v>
      </c>
      <c r="E1474" s="145">
        <v>0.882</v>
      </c>
      <c r="F1474" s="145">
        <v>4</v>
      </c>
      <c r="G1474" s="145">
        <v>4.9</v>
      </c>
      <c r="H1474" s="45">
        <f>E1474*4+F1474*9+G1474*4</f>
        <v>59.128</v>
      </c>
      <c r="I1474" s="307">
        <v>5.62625</v>
      </c>
      <c r="J1474" s="306" t="s">
        <v>348</v>
      </c>
    </row>
    <row r="1475" spans="1:10" ht="24.75" customHeight="1">
      <c r="A1475" s="123" t="s">
        <v>25</v>
      </c>
      <c r="B1475" s="42">
        <f>C1475*1.25</f>
        <v>61.25</v>
      </c>
      <c r="C1475" s="16">
        <v>49</v>
      </c>
      <c r="D1475" s="44"/>
      <c r="E1475" s="44"/>
      <c r="F1475" s="44"/>
      <c r="G1475" s="44"/>
      <c r="H1475" s="45"/>
      <c r="I1475" s="307"/>
      <c r="J1475" s="306"/>
    </row>
    <row r="1476" spans="1:10" ht="24.75" customHeight="1">
      <c r="A1476" s="123" t="s">
        <v>19</v>
      </c>
      <c r="B1476" s="42">
        <f>C1476*1.33</f>
        <v>65.17</v>
      </c>
      <c r="C1476" s="16">
        <v>49</v>
      </c>
      <c r="D1476" s="44"/>
      <c r="E1476" s="44"/>
      <c r="F1476" s="44"/>
      <c r="G1476" s="44"/>
      <c r="H1476" s="45"/>
      <c r="I1476" s="307"/>
      <c r="J1476" s="306"/>
    </row>
    <row r="1477" spans="1:10" ht="24.75" customHeight="1">
      <c r="A1477" s="154" t="s">
        <v>229</v>
      </c>
      <c r="B1477" s="42"/>
      <c r="C1477" s="41">
        <v>48</v>
      </c>
      <c r="D1477" s="44"/>
      <c r="E1477" s="44"/>
      <c r="F1477" s="44"/>
      <c r="G1477" s="44"/>
      <c r="H1477" s="45"/>
      <c r="I1477" s="307"/>
      <c r="J1477" s="306"/>
    </row>
    <row r="1478" spans="1:10" ht="24.75" customHeight="1">
      <c r="A1478" s="171" t="s">
        <v>176</v>
      </c>
      <c r="B1478" s="42">
        <f>C1478*1.43</f>
        <v>15.729999999999999</v>
      </c>
      <c r="C1478" s="16">
        <v>11</v>
      </c>
      <c r="D1478" s="44"/>
      <c r="E1478" s="44"/>
      <c r="F1478" s="44"/>
      <c r="G1478" s="44"/>
      <c r="H1478" s="45"/>
      <c r="I1478" s="307"/>
      <c r="J1478" s="306"/>
    </row>
    <row r="1479" spans="1:10" ht="24.75" customHeight="1">
      <c r="A1479" s="184" t="s">
        <v>12</v>
      </c>
      <c r="B1479" s="161">
        <v>1.5</v>
      </c>
      <c r="C1479" s="153">
        <v>1.5</v>
      </c>
      <c r="D1479" s="145"/>
      <c r="E1479" s="145"/>
      <c r="F1479" s="145"/>
      <c r="G1479" s="145"/>
      <c r="H1479" s="152"/>
      <c r="I1479" s="306"/>
      <c r="J1479" s="306"/>
    </row>
    <row r="1480" spans="1:10" ht="24.75" customHeight="1">
      <c r="A1480" s="123" t="s">
        <v>67</v>
      </c>
      <c r="B1480" s="42">
        <v>9</v>
      </c>
      <c r="C1480" s="16">
        <v>8</v>
      </c>
      <c r="D1480" s="44"/>
      <c r="E1480" s="44"/>
      <c r="F1480" s="44"/>
      <c r="G1480" s="44"/>
      <c r="H1480" s="45"/>
      <c r="I1480" s="307"/>
      <c r="J1480" s="306"/>
    </row>
    <row r="1481" spans="1:10" ht="24.75" customHeight="1">
      <c r="A1481" s="123" t="s">
        <v>20</v>
      </c>
      <c r="B1481" s="42">
        <v>4</v>
      </c>
      <c r="C1481" s="16">
        <v>4</v>
      </c>
      <c r="D1481" s="44"/>
      <c r="E1481" s="44"/>
      <c r="F1481" s="44"/>
      <c r="G1481" s="44"/>
      <c r="H1481" s="45"/>
      <c r="I1481" s="307"/>
      <c r="J1481" s="306"/>
    </row>
    <row r="1482" spans="1:10" ht="24.75" customHeight="1">
      <c r="A1482" s="468" t="s">
        <v>591</v>
      </c>
      <c r="B1482" s="468"/>
      <c r="C1482" s="468"/>
      <c r="D1482" s="41" t="s">
        <v>244</v>
      </c>
      <c r="E1482" s="145">
        <v>9.1</v>
      </c>
      <c r="F1482" s="145">
        <v>8.5</v>
      </c>
      <c r="G1482" s="145">
        <v>3.8</v>
      </c>
      <c r="H1482" s="372">
        <f>G1482*4+F1482*9+E1482*4</f>
        <v>128.1</v>
      </c>
      <c r="I1482" s="350">
        <v>0.8</v>
      </c>
      <c r="J1482" s="350" t="s">
        <v>471</v>
      </c>
    </row>
    <row r="1483" spans="1:10" ht="24.75" customHeight="1">
      <c r="A1483" s="407" t="s">
        <v>598</v>
      </c>
      <c r="B1483" s="23">
        <v>146</v>
      </c>
      <c r="C1483" s="55">
        <v>101</v>
      </c>
      <c r="D1483" s="42"/>
      <c r="E1483" s="140"/>
      <c r="F1483" s="140"/>
      <c r="G1483" s="140"/>
      <c r="H1483" s="94"/>
      <c r="I1483" s="316"/>
      <c r="J1483" s="317"/>
    </row>
    <row r="1484" spans="1:10" ht="24.75" customHeight="1">
      <c r="A1484" s="203" t="s">
        <v>165</v>
      </c>
      <c r="B1484" s="23">
        <f>C1484*1.82</f>
        <v>183.82</v>
      </c>
      <c r="C1484" s="55">
        <v>101</v>
      </c>
      <c r="D1484" s="42"/>
      <c r="E1484" s="140"/>
      <c r="F1484" s="140"/>
      <c r="G1484" s="140"/>
      <c r="H1484" s="140"/>
      <c r="I1484" s="140"/>
      <c r="J1484" s="112"/>
    </row>
    <row r="1485" spans="1:10" ht="38.25" customHeight="1">
      <c r="A1485" s="203" t="s">
        <v>117</v>
      </c>
      <c r="B1485" s="23">
        <f>C1485*1.35</f>
        <v>129.60000000000002</v>
      </c>
      <c r="C1485" s="55">
        <v>96</v>
      </c>
      <c r="D1485" s="42"/>
      <c r="E1485" s="112"/>
      <c r="F1485" s="112"/>
      <c r="G1485" s="112"/>
      <c r="H1485" s="45"/>
      <c r="I1485" s="307"/>
      <c r="J1485" s="306"/>
    </row>
    <row r="1486" spans="1:10" ht="24.75" customHeight="1">
      <c r="A1486" s="407" t="s">
        <v>498</v>
      </c>
      <c r="B1486" s="219">
        <f>C1486*1.08</f>
        <v>109.08000000000001</v>
      </c>
      <c r="C1486" s="55">
        <v>101</v>
      </c>
      <c r="D1486" s="199"/>
      <c r="E1486" s="200"/>
      <c r="F1486" s="200"/>
      <c r="G1486" s="200"/>
      <c r="H1486" s="201"/>
      <c r="I1486" s="309"/>
      <c r="J1486" s="317"/>
    </row>
    <row r="1487" spans="1:10" ht="24.75" customHeight="1">
      <c r="A1487" s="171" t="s">
        <v>20</v>
      </c>
      <c r="B1487" s="187">
        <v>7</v>
      </c>
      <c r="C1487" s="201">
        <v>7</v>
      </c>
      <c r="D1487" s="199"/>
      <c r="E1487" s="200"/>
      <c r="F1487" s="200"/>
      <c r="G1487" s="200"/>
      <c r="H1487" s="201"/>
      <c r="I1487" s="309"/>
      <c r="J1487" s="317"/>
    </row>
    <row r="1488" spans="1:10" ht="24.75" customHeight="1">
      <c r="A1488" s="171" t="s">
        <v>28</v>
      </c>
      <c r="B1488" s="187">
        <v>7</v>
      </c>
      <c r="C1488" s="201">
        <v>7</v>
      </c>
      <c r="D1488" s="199"/>
      <c r="E1488" s="200"/>
      <c r="F1488" s="200"/>
      <c r="G1488" s="200"/>
      <c r="H1488" s="201"/>
      <c r="I1488" s="309"/>
      <c r="J1488" s="317"/>
    </row>
    <row r="1489" spans="1:10" ht="24.75" customHeight="1">
      <c r="A1489" s="171" t="s">
        <v>95</v>
      </c>
      <c r="B1489" s="187">
        <v>6</v>
      </c>
      <c r="C1489" s="201">
        <v>6</v>
      </c>
      <c r="D1489" s="199"/>
      <c r="E1489" s="200"/>
      <c r="F1489" s="200"/>
      <c r="G1489" s="200"/>
      <c r="H1489" s="201"/>
      <c r="I1489" s="309"/>
      <c r="J1489" s="317"/>
    </row>
    <row r="1490" spans="1:10" ht="24.75" customHeight="1">
      <c r="A1490" s="171" t="s">
        <v>599</v>
      </c>
      <c r="B1490" s="187">
        <v>38</v>
      </c>
      <c r="C1490" s="201">
        <v>32</v>
      </c>
      <c r="D1490" s="199"/>
      <c r="E1490" s="200"/>
      <c r="F1490" s="200"/>
      <c r="G1490" s="200"/>
      <c r="H1490" s="201"/>
      <c r="I1490" s="309"/>
      <c r="J1490" s="317"/>
    </row>
    <row r="1491" spans="1:10" ht="24.75" customHeight="1">
      <c r="A1491" s="171" t="s">
        <v>600</v>
      </c>
      <c r="B1491" s="187">
        <v>40</v>
      </c>
      <c r="C1491" s="201">
        <v>32</v>
      </c>
      <c r="D1491" s="199"/>
      <c r="E1491" s="200"/>
      <c r="F1491" s="200"/>
      <c r="G1491" s="200"/>
      <c r="H1491" s="201"/>
      <c r="I1491" s="309"/>
      <c r="J1491" s="317"/>
    </row>
    <row r="1492" spans="1:10" ht="24.75" customHeight="1">
      <c r="A1492" s="401" t="s">
        <v>13</v>
      </c>
      <c r="B1492" s="142">
        <v>5</v>
      </c>
      <c r="C1492" s="163">
        <v>5</v>
      </c>
      <c r="D1492" s="142"/>
      <c r="E1492" s="183"/>
      <c r="F1492" s="183"/>
      <c r="G1492" s="183"/>
      <c r="H1492" s="152"/>
      <c r="I1492" s="306"/>
      <c r="J1492" s="306"/>
    </row>
    <row r="1493" spans="1:10" ht="24.75" customHeight="1">
      <c r="A1493" s="468" t="s">
        <v>146</v>
      </c>
      <c r="B1493" s="468"/>
      <c r="C1493" s="468"/>
      <c r="D1493" s="41" t="s">
        <v>539</v>
      </c>
      <c r="E1493" s="44">
        <v>2.6</v>
      </c>
      <c r="F1493" s="44">
        <v>3.1</v>
      </c>
      <c r="G1493" s="44">
        <v>20.5</v>
      </c>
      <c r="H1493" s="45">
        <f>E1493*4+F1493*9+G1493*4</f>
        <v>120.30000000000001</v>
      </c>
      <c r="I1493" s="307">
        <v>9.277499999999998</v>
      </c>
      <c r="J1493" s="306" t="s">
        <v>373</v>
      </c>
    </row>
    <row r="1494" spans="1:10" ht="24.75" customHeight="1">
      <c r="A1494" s="139" t="s">
        <v>21</v>
      </c>
      <c r="B1494" s="187">
        <f>C1494*1.33</f>
        <v>199.5</v>
      </c>
      <c r="C1494" s="142">
        <v>150</v>
      </c>
      <c r="D1494" s="153"/>
      <c r="E1494" s="161"/>
      <c r="F1494" s="161"/>
      <c r="G1494" s="161"/>
      <c r="H1494" s="142"/>
      <c r="I1494" s="306"/>
      <c r="J1494" s="306"/>
    </row>
    <row r="1495" spans="1:10" ht="24.75" customHeight="1">
      <c r="A1495" s="115" t="s">
        <v>22</v>
      </c>
      <c r="B1495" s="94">
        <f>C1495*1.43</f>
        <v>214.5</v>
      </c>
      <c r="C1495" s="142">
        <v>150</v>
      </c>
      <c r="D1495" s="16"/>
      <c r="E1495" s="50"/>
      <c r="F1495" s="50"/>
      <c r="G1495" s="50"/>
      <c r="H1495" s="42"/>
      <c r="I1495" s="307"/>
      <c r="J1495" s="306"/>
    </row>
    <row r="1496" spans="1:10" ht="24.75" customHeight="1">
      <c r="A1496" s="123" t="s">
        <v>23</v>
      </c>
      <c r="B1496" s="94">
        <f>C1496*1.54</f>
        <v>231</v>
      </c>
      <c r="C1496" s="142">
        <v>150</v>
      </c>
      <c r="D1496" s="16"/>
      <c r="E1496" s="50"/>
      <c r="F1496" s="50"/>
      <c r="G1496" s="50"/>
      <c r="H1496" s="42"/>
      <c r="I1496" s="307"/>
      <c r="J1496" s="306"/>
    </row>
    <row r="1497" spans="1:10" ht="24.75" customHeight="1">
      <c r="A1497" s="123" t="s">
        <v>24</v>
      </c>
      <c r="B1497" s="94">
        <f>C1497*1.67</f>
        <v>250.5</v>
      </c>
      <c r="C1497" s="142">
        <v>150</v>
      </c>
      <c r="D1497" s="16"/>
      <c r="E1497" s="50"/>
      <c r="F1497" s="50"/>
      <c r="G1497" s="50"/>
      <c r="H1497" s="42"/>
      <c r="I1497" s="307"/>
      <c r="J1497" s="306"/>
    </row>
    <row r="1498" spans="1:10" ht="24.75" customHeight="1">
      <c r="A1498" s="115" t="s">
        <v>27</v>
      </c>
      <c r="B1498" s="42">
        <v>5</v>
      </c>
      <c r="C1498" s="42">
        <v>5</v>
      </c>
      <c r="D1498" s="16"/>
      <c r="E1498" s="50"/>
      <c r="F1498" s="50"/>
      <c r="G1498" s="50"/>
      <c r="H1498" s="42"/>
      <c r="I1498" s="307"/>
      <c r="J1498" s="306"/>
    </row>
    <row r="1499" spans="1:10" ht="24.75" customHeight="1">
      <c r="A1499" s="123" t="s">
        <v>70</v>
      </c>
      <c r="B1499" s="94">
        <v>3</v>
      </c>
      <c r="C1499" s="112">
        <v>2</v>
      </c>
      <c r="D1499" s="16"/>
      <c r="E1499" s="50"/>
      <c r="F1499" s="50"/>
      <c r="G1499" s="50"/>
      <c r="H1499" s="42"/>
      <c r="I1499" s="307"/>
      <c r="J1499" s="306"/>
    </row>
    <row r="1500" spans="1:10" ht="24.75" customHeight="1">
      <c r="A1500" s="440" t="s">
        <v>540</v>
      </c>
      <c r="B1500" s="94"/>
      <c r="C1500" s="112"/>
      <c r="D1500" s="118">
        <v>30</v>
      </c>
      <c r="E1500" s="44">
        <v>0.24</v>
      </c>
      <c r="F1500" s="44">
        <v>0</v>
      </c>
      <c r="G1500" s="44">
        <v>0.72</v>
      </c>
      <c r="H1500" s="45">
        <f>E1500*4+F1500*9+G1500*4</f>
        <v>3.84</v>
      </c>
      <c r="I1500" s="307">
        <v>2.9</v>
      </c>
      <c r="J1500" s="306"/>
    </row>
    <row r="1501" spans="1:10" ht="24.75" customHeight="1">
      <c r="A1501" s="114" t="s">
        <v>223</v>
      </c>
      <c r="B1501" s="201">
        <f>C1501*1.05</f>
        <v>31.5</v>
      </c>
      <c r="C1501" s="282">
        <v>30</v>
      </c>
      <c r="D1501" s="421"/>
      <c r="E1501" s="151"/>
      <c r="F1501" s="151"/>
      <c r="G1501" s="151"/>
      <c r="H1501" s="151"/>
      <c r="I1501" s="306"/>
      <c r="J1501" s="306"/>
    </row>
    <row r="1502" spans="1:10" ht="24.75" customHeight="1">
      <c r="A1502" s="202" t="s">
        <v>224</v>
      </c>
      <c r="B1502" s="94">
        <f>C1502*1.02</f>
        <v>30.6</v>
      </c>
      <c r="C1502" s="282">
        <v>30</v>
      </c>
      <c r="D1502" s="422"/>
      <c r="E1502" s="41"/>
      <c r="F1502" s="41"/>
      <c r="G1502" s="41"/>
      <c r="H1502" s="41"/>
      <c r="I1502" s="307"/>
      <c r="J1502" s="307"/>
    </row>
    <row r="1503" spans="1:13" ht="24.75" customHeight="1">
      <c r="A1503" s="461" t="s">
        <v>14</v>
      </c>
      <c r="B1503" s="461"/>
      <c r="C1503" s="461"/>
      <c r="D1503" s="151" t="s">
        <v>15</v>
      </c>
      <c r="E1503" s="145">
        <v>0.2</v>
      </c>
      <c r="F1503" s="145">
        <v>0</v>
      </c>
      <c r="G1503" s="145">
        <v>15.3</v>
      </c>
      <c r="H1503" s="152">
        <v>58</v>
      </c>
      <c r="I1503" s="306">
        <v>0.8</v>
      </c>
      <c r="J1503" s="306" t="s">
        <v>391</v>
      </c>
      <c r="L1503" s="165"/>
      <c r="M1503" s="165"/>
    </row>
    <row r="1504" spans="1:10" ht="24.75" customHeight="1">
      <c r="A1504" s="139" t="s">
        <v>16</v>
      </c>
      <c r="B1504" s="16">
        <v>0.4</v>
      </c>
      <c r="C1504" s="16">
        <v>0.4</v>
      </c>
      <c r="D1504" s="153"/>
      <c r="E1504" s="161"/>
      <c r="F1504" s="161"/>
      <c r="G1504" s="161"/>
      <c r="H1504" s="142"/>
      <c r="I1504" s="306"/>
      <c r="J1504" s="306"/>
    </row>
    <row r="1505" spans="1:10" ht="24.75" customHeight="1">
      <c r="A1505" s="184" t="s">
        <v>12</v>
      </c>
      <c r="B1505" s="153">
        <v>15</v>
      </c>
      <c r="C1505" s="153">
        <v>15</v>
      </c>
      <c r="D1505" s="153"/>
      <c r="E1505" s="161"/>
      <c r="F1505" s="161"/>
      <c r="G1505" s="161"/>
      <c r="H1505" s="142"/>
      <c r="I1505" s="306"/>
      <c r="J1505" s="306"/>
    </row>
    <row r="1506" spans="1:10" ht="24.75" customHeight="1">
      <c r="A1506" s="184" t="s">
        <v>17</v>
      </c>
      <c r="B1506" s="153">
        <v>6</v>
      </c>
      <c r="C1506" s="153">
        <v>5</v>
      </c>
      <c r="D1506" s="153"/>
      <c r="E1506" s="161"/>
      <c r="F1506" s="161"/>
      <c r="G1506" s="161"/>
      <c r="H1506" s="161"/>
      <c r="I1506" s="161"/>
      <c r="J1506" s="161"/>
    </row>
    <row r="1507" spans="1:10" ht="24.75" customHeight="1">
      <c r="A1507" s="461" t="s">
        <v>72</v>
      </c>
      <c r="B1507" s="461"/>
      <c r="C1507" s="461"/>
      <c r="D1507" s="151">
        <v>20</v>
      </c>
      <c r="E1507" s="145">
        <v>1.36</v>
      </c>
      <c r="F1507" s="145">
        <v>0.24</v>
      </c>
      <c r="G1507" s="145">
        <v>6.72</v>
      </c>
      <c r="H1507" s="152">
        <v>34.48</v>
      </c>
      <c r="I1507" s="306">
        <v>0</v>
      </c>
      <c r="J1507" s="306"/>
    </row>
    <row r="1508" spans="1:10" ht="24.75" customHeight="1">
      <c r="A1508" s="461" t="s">
        <v>258</v>
      </c>
      <c r="B1508" s="461"/>
      <c r="C1508" s="461"/>
      <c r="D1508" s="151">
        <v>15</v>
      </c>
      <c r="E1508" s="145">
        <v>1.23</v>
      </c>
      <c r="F1508" s="145">
        <v>0.21000000000000002</v>
      </c>
      <c r="G1508" s="145">
        <v>5.7</v>
      </c>
      <c r="H1508" s="152">
        <v>29.4</v>
      </c>
      <c r="I1508" s="306">
        <v>0</v>
      </c>
      <c r="J1508" s="306"/>
    </row>
    <row r="1509" spans="1:10" ht="24.75" customHeight="1">
      <c r="A1509" s="466" t="s">
        <v>232</v>
      </c>
      <c r="B1509" s="466"/>
      <c r="C1509" s="466"/>
      <c r="D1509" s="466"/>
      <c r="E1509" s="466"/>
      <c r="F1509" s="466"/>
      <c r="G1509" s="466"/>
      <c r="H1509" s="466"/>
      <c r="I1509" s="466"/>
      <c r="J1509" s="466"/>
    </row>
    <row r="1510" spans="1:10" ht="24.75" customHeight="1">
      <c r="A1510" s="274" t="s">
        <v>257</v>
      </c>
      <c r="B1510" s="16">
        <v>154</v>
      </c>
      <c r="C1510" s="112">
        <v>150</v>
      </c>
      <c r="D1510" s="41">
        <v>150</v>
      </c>
      <c r="E1510" s="44">
        <v>3.2</v>
      </c>
      <c r="F1510" s="44">
        <v>3.6</v>
      </c>
      <c r="G1510" s="44">
        <v>6</v>
      </c>
      <c r="H1510" s="45">
        <f>E1510*4+F1510*9+G1510*4</f>
        <v>69.2</v>
      </c>
      <c r="I1510" s="307">
        <v>1.02</v>
      </c>
      <c r="J1510" s="306" t="s">
        <v>372</v>
      </c>
    </row>
    <row r="1511" spans="1:10" ht="24.75" customHeight="1">
      <c r="A1511" s="478" t="s">
        <v>141</v>
      </c>
      <c r="B1511" s="478"/>
      <c r="C1511" s="478"/>
      <c r="D1511" s="478"/>
      <c r="E1511" s="216">
        <f>E1509+E1473+E1453+E1396+E1369+E1394</f>
        <v>60.512</v>
      </c>
      <c r="F1511" s="217">
        <f>F1509+F1473+F1453+F1396+F1369+F1394</f>
        <v>72.09153846153848</v>
      </c>
      <c r="G1511" s="217">
        <f>G1509+G1473+G1453+G1396+G1369+G1394</f>
        <v>307.05</v>
      </c>
      <c r="H1511" s="217">
        <f>H1509+H1473+H1453+H1396+H1369+H1394</f>
        <v>2114.601846153846</v>
      </c>
      <c r="I1511" s="318">
        <f>I1509+I1473+I1453+I1396+I1369+I1394</f>
        <v>80.75035714285713</v>
      </c>
      <c r="J1511" s="324"/>
    </row>
    <row r="1512" spans="1:10" ht="24.75" customHeight="1">
      <c r="A1512" s="490" t="s">
        <v>32</v>
      </c>
      <c r="B1512" s="490"/>
      <c r="C1512" s="490"/>
      <c r="D1512" s="490"/>
      <c r="E1512" s="490"/>
      <c r="F1512" s="490"/>
      <c r="G1512" s="490"/>
      <c r="H1512" s="490"/>
      <c r="I1512" s="490"/>
      <c r="J1512" s="490"/>
    </row>
    <row r="1513" spans="1:10" ht="24.75" customHeight="1">
      <c r="A1513" s="491" t="s">
        <v>103</v>
      </c>
      <c r="B1513" s="491"/>
      <c r="C1513" s="491"/>
      <c r="D1513" s="491"/>
      <c r="E1513" s="491"/>
      <c r="F1513" s="491"/>
      <c r="G1513" s="491"/>
      <c r="H1513" s="491"/>
      <c r="I1513" s="491"/>
      <c r="J1513" s="491"/>
    </row>
    <row r="1514" spans="1:10" ht="24.75" customHeight="1">
      <c r="A1514" s="455" t="s">
        <v>2</v>
      </c>
      <c r="B1514" s="449" t="s">
        <v>3</v>
      </c>
      <c r="C1514" s="449" t="s">
        <v>4</v>
      </c>
      <c r="D1514" s="455" t="s">
        <v>5</v>
      </c>
      <c r="E1514" s="455"/>
      <c r="F1514" s="455"/>
      <c r="G1514" s="455"/>
      <c r="H1514" s="455"/>
      <c r="I1514" s="455"/>
      <c r="J1514" s="446" t="s">
        <v>311</v>
      </c>
    </row>
    <row r="1515" spans="1:10" ht="24.75" customHeight="1">
      <c r="A1515" s="455"/>
      <c r="B1515" s="449"/>
      <c r="C1515" s="449"/>
      <c r="D1515" s="449" t="s">
        <v>6</v>
      </c>
      <c r="E1515" s="467" t="s">
        <v>7</v>
      </c>
      <c r="F1515" s="467" t="s">
        <v>8</v>
      </c>
      <c r="G1515" s="467" t="s">
        <v>9</v>
      </c>
      <c r="H1515" s="453" t="s">
        <v>10</v>
      </c>
      <c r="I1515" s="444" t="s">
        <v>312</v>
      </c>
      <c r="J1515" s="447"/>
    </row>
    <row r="1516" spans="1:10" ht="24.75" customHeight="1">
      <c r="A1516" s="455"/>
      <c r="B1516" s="449"/>
      <c r="C1516" s="449"/>
      <c r="D1516" s="449"/>
      <c r="E1516" s="467"/>
      <c r="F1516" s="467"/>
      <c r="G1516" s="467"/>
      <c r="H1516" s="453"/>
      <c r="I1516" s="445"/>
      <c r="J1516" s="448"/>
    </row>
    <row r="1517" spans="1:10" ht="24.75" customHeight="1">
      <c r="A1517" s="466" t="s">
        <v>58</v>
      </c>
      <c r="B1517" s="466"/>
      <c r="C1517" s="466"/>
      <c r="D1517" s="466"/>
      <c r="E1517" s="128">
        <f>SUM(E1518:E1538)</f>
        <v>14.9</v>
      </c>
      <c r="F1517" s="128">
        <f>SUM(F1518:F1538)</f>
        <v>24.3</v>
      </c>
      <c r="G1517" s="128">
        <f>SUM(G1518:G1538)</f>
        <v>83.6</v>
      </c>
      <c r="H1517" s="116">
        <f>SUM(H1518:H1538)</f>
        <v>612.7</v>
      </c>
      <c r="I1517" s="128">
        <f>SUM(I1518:I1538)</f>
        <v>15.49</v>
      </c>
      <c r="J1517" s="159"/>
    </row>
    <row r="1518" spans="1:12" ht="24.75" customHeight="1" thickBot="1">
      <c r="A1518" s="461" t="s">
        <v>109</v>
      </c>
      <c r="B1518" s="461"/>
      <c r="C1518" s="461"/>
      <c r="D1518" s="151" t="s">
        <v>242</v>
      </c>
      <c r="E1518" s="145">
        <v>5.3</v>
      </c>
      <c r="F1518" s="145">
        <v>9.1</v>
      </c>
      <c r="G1518" s="145">
        <v>28.8</v>
      </c>
      <c r="H1518" s="152">
        <f>E1518*4+F1518*9+G1518*4</f>
        <v>218.3</v>
      </c>
      <c r="I1518" s="306">
        <v>1</v>
      </c>
      <c r="J1518" s="306" t="s">
        <v>350</v>
      </c>
      <c r="L1518" s="181" t="s">
        <v>103</v>
      </c>
    </row>
    <row r="1519" spans="1:13" ht="24.75" customHeight="1">
      <c r="A1519" s="139" t="s">
        <v>64</v>
      </c>
      <c r="B1519" s="142">
        <v>30</v>
      </c>
      <c r="C1519" s="142">
        <v>30</v>
      </c>
      <c r="D1519" s="152"/>
      <c r="E1519" s="152"/>
      <c r="F1519" s="145"/>
      <c r="G1519" s="145"/>
      <c r="H1519" s="152"/>
      <c r="I1519" s="306"/>
      <c r="J1519" s="306"/>
      <c r="L1519" s="59" t="s">
        <v>72</v>
      </c>
      <c r="M1519" s="106">
        <f>D1583+D1611</f>
        <v>80</v>
      </c>
    </row>
    <row r="1520" spans="1:13" ht="24.75" customHeight="1">
      <c r="A1520" s="184" t="s">
        <v>149</v>
      </c>
      <c r="B1520" s="142">
        <v>120</v>
      </c>
      <c r="C1520" s="142">
        <v>120</v>
      </c>
      <c r="D1520" s="152"/>
      <c r="E1520" s="152"/>
      <c r="F1520" s="152"/>
      <c r="G1520" s="152"/>
      <c r="H1520" s="152"/>
      <c r="I1520" s="306"/>
      <c r="J1520" s="306"/>
      <c r="L1520" s="35" t="s">
        <v>82</v>
      </c>
      <c r="M1520" s="106">
        <f>C1526+D1582+D1612+B1592+B1595</f>
        <v>135</v>
      </c>
    </row>
    <row r="1521" spans="1:13" ht="24.75" customHeight="1">
      <c r="A1521" s="139" t="s">
        <v>110</v>
      </c>
      <c r="B1521" s="153">
        <v>78</v>
      </c>
      <c r="C1521" s="153">
        <v>78</v>
      </c>
      <c r="D1521" s="152"/>
      <c r="E1521" s="153"/>
      <c r="F1521" s="153"/>
      <c r="G1521" s="153"/>
      <c r="H1521" s="142"/>
      <c r="I1521" s="306"/>
      <c r="J1521" s="306"/>
      <c r="L1521" s="35" t="s">
        <v>83</v>
      </c>
      <c r="M1521" s="102">
        <f>B1603</f>
        <v>1.5</v>
      </c>
    </row>
    <row r="1522" spans="1:13" ht="24.75" customHeight="1">
      <c r="A1522" s="184" t="s">
        <v>12</v>
      </c>
      <c r="B1522" s="142">
        <v>4</v>
      </c>
      <c r="C1522" s="142">
        <v>4</v>
      </c>
      <c r="D1522" s="152"/>
      <c r="E1522" s="152"/>
      <c r="F1522" s="152"/>
      <c r="G1522" s="152"/>
      <c r="H1522" s="152"/>
      <c r="I1522" s="306"/>
      <c r="J1522" s="306"/>
      <c r="L1522" s="36" t="s">
        <v>126</v>
      </c>
      <c r="M1522" s="102">
        <f>B1519</f>
        <v>30</v>
      </c>
    </row>
    <row r="1523" spans="1:12" ht="24.75" customHeight="1">
      <c r="A1523" s="258" t="s">
        <v>150</v>
      </c>
      <c r="B1523" s="161">
        <v>1.1440000000000001</v>
      </c>
      <c r="C1523" s="161">
        <v>1.1440000000000001</v>
      </c>
      <c r="D1523" s="152"/>
      <c r="E1523" s="145"/>
      <c r="F1523" s="145"/>
      <c r="G1523" s="145"/>
      <c r="H1523" s="142"/>
      <c r="I1523" s="306"/>
      <c r="J1523" s="306"/>
      <c r="L1523" s="39" t="s">
        <v>330</v>
      </c>
    </row>
    <row r="1524" spans="1:13" ht="24.75" customHeight="1">
      <c r="A1524" s="139" t="s">
        <v>27</v>
      </c>
      <c r="B1524" s="153">
        <v>5</v>
      </c>
      <c r="C1524" s="153">
        <v>5</v>
      </c>
      <c r="D1524" s="152"/>
      <c r="E1524" s="145"/>
      <c r="F1524" s="161"/>
      <c r="G1524" s="161"/>
      <c r="H1524" s="142"/>
      <c r="I1524" s="306"/>
      <c r="J1524" s="306"/>
      <c r="L1524" s="35" t="s">
        <v>138</v>
      </c>
      <c r="M1524" s="102">
        <f>B1553+B1569</f>
        <v>285.95000000000005</v>
      </c>
    </row>
    <row r="1525" spans="1:13" ht="18" customHeight="1">
      <c r="A1525" s="468" t="s">
        <v>389</v>
      </c>
      <c r="B1525" s="468"/>
      <c r="C1525" s="468"/>
      <c r="D1525" s="41">
        <v>70</v>
      </c>
      <c r="E1525" s="145">
        <v>3.2</v>
      </c>
      <c r="F1525" s="145">
        <v>7</v>
      </c>
      <c r="G1525" s="145">
        <v>12.8</v>
      </c>
      <c r="H1525" s="152">
        <f>E1525*4+F1525*9+G1525*4</f>
        <v>127</v>
      </c>
      <c r="I1525" s="306">
        <v>2</v>
      </c>
      <c r="J1525" s="306" t="s">
        <v>348</v>
      </c>
      <c r="L1525" s="35" t="s">
        <v>84</v>
      </c>
      <c r="M1525" s="102">
        <f>B1542+B1543+B1544+B1547+B1552+B1558+B1559+B1562+B1564+B1598+B1600+B1601+B1602+B1606+B1574+B1577+B1528+B1531</f>
        <v>428.6925</v>
      </c>
    </row>
    <row r="1526" spans="1:13" ht="20.25" customHeight="1">
      <c r="A1526" s="115" t="s">
        <v>36</v>
      </c>
      <c r="B1526" s="16">
        <v>30</v>
      </c>
      <c r="C1526" s="16">
        <v>30</v>
      </c>
      <c r="D1526" s="41"/>
      <c r="E1526" s="41"/>
      <c r="F1526" s="41"/>
      <c r="G1526" s="41"/>
      <c r="H1526" s="45"/>
      <c r="I1526" s="306"/>
      <c r="J1526" s="306"/>
      <c r="L1526" s="35" t="s">
        <v>85</v>
      </c>
      <c r="M1526" s="102">
        <f>D1538</f>
        <v>180</v>
      </c>
    </row>
    <row r="1527" spans="1:13" ht="15.75" customHeight="1">
      <c r="A1527" s="114" t="s">
        <v>27</v>
      </c>
      <c r="B1527" s="48">
        <v>5</v>
      </c>
      <c r="C1527" s="48">
        <v>5</v>
      </c>
      <c r="D1527" s="45"/>
      <c r="E1527" s="44"/>
      <c r="F1527" s="50"/>
      <c r="G1527" s="50"/>
      <c r="H1527" s="42"/>
      <c r="I1527" s="306"/>
      <c r="J1527" s="306"/>
      <c r="L1527" s="35" t="s">
        <v>127</v>
      </c>
      <c r="M1527" s="102">
        <f>D1586</f>
        <v>200</v>
      </c>
    </row>
    <row r="1528" spans="1:13" ht="16.5" customHeight="1">
      <c r="A1528" s="115" t="s">
        <v>385</v>
      </c>
      <c r="B1528" s="50">
        <f>1.02*C1528</f>
        <v>20.4</v>
      </c>
      <c r="C1528" s="16">
        <v>20</v>
      </c>
      <c r="D1528" s="16"/>
      <c r="E1528" s="50"/>
      <c r="F1528" s="50"/>
      <c r="G1528" s="50"/>
      <c r="H1528" s="42"/>
      <c r="I1528" s="307"/>
      <c r="J1528" s="306"/>
      <c r="L1528" s="35" t="s">
        <v>86</v>
      </c>
      <c r="M1528" s="102">
        <f>B1580</f>
        <v>20</v>
      </c>
    </row>
    <row r="1529" spans="1:13" ht="45" customHeight="1">
      <c r="A1529" s="172" t="s">
        <v>227</v>
      </c>
      <c r="B1529" s="50">
        <f>1.18*C1529</f>
        <v>23.599999999999998</v>
      </c>
      <c r="C1529" s="16">
        <v>20</v>
      </c>
      <c r="D1529" s="16"/>
      <c r="E1529" s="50"/>
      <c r="F1529" s="50"/>
      <c r="G1529" s="50"/>
      <c r="H1529" s="42"/>
      <c r="I1529" s="307"/>
      <c r="J1529" s="306"/>
      <c r="L1529" s="35" t="s">
        <v>87</v>
      </c>
      <c r="M1529" s="102">
        <f>B1522+B1535+B1561+B1581+B1605+B1609</f>
        <v>40.5</v>
      </c>
    </row>
    <row r="1530" spans="1:13" ht="24.75" customHeight="1">
      <c r="A1530" s="115" t="s">
        <v>183</v>
      </c>
      <c r="B1530" s="16">
        <v>16</v>
      </c>
      <c r="C1530" s="16">
        <v>15</v>
      </c>
      <c r="D1530" s="41"/>
      <c r="E1530" s="41"/>
      <c r="F1530" s="41"/>
      <c r="G1530" s="41"/>
      <c r="H1530" s="45"/>
      <c r="I1530" s="306"/>
      <c r="J1530" s="306"/>
      <c r="L1530" s="240" t="s">
        <v>207</v>
      </c>
      <c r="M1530" s="106">
        <f>D1585+D1610</f>
        <v>45</v>
      </c>
    </row>
    <row r="1531" spans="1:13" ht="24.75" customHeight="1">
      <c r="A1531" s="171" t="s">
        <v>70</v>
      </c>
      <c r="B1531" s="161">
        <v>2</v>
      </c>
      <c r="C1531" s="153">
        <v>2</v>
      </c>
      <c r="D1531" s="153"/>
      <c r="E1531" s="161"/>
      <c r="F1531" s="161"/>
      <c r="G1531" s="161"/>
      <c r="H1531" s="142"/>
      <c r="I1531" s="306"/>
      <c r="J1531" s="306"/>
      <c r="L1531" s="35" t="s">
        <v>128</v>
      </c>
      <c r="M1531" s="102"/>
    </row>
    <row r="1532" spans="1:13" ht="97.5" customHeight="1">
      <c r="A1532" s="408" t="s">
        <v>536</v>
      </c>
      <c r="B1532" s="112">
        <v>100</v>
      </c>
      <c r="C1532" s="112">
        <v>100</v>
      </c>
      <c r="D1532" s="43">
        <v>100</v>
      </c>
      <c r="E1532" s="54">
        <v>3.2</v>
      </c>
      <c r="F1532" s="54">
        <v>5.4</v>
      </c>
      <c r="G1532" s="54">
        <v>10.5</v>
      </c>
      <c r="H1532" s="45">
        <f>E1532*4+F1532*9+G1532*4</f>
        <v>103.4</v>
      </c>
      <c r="I1532" s="307">
        <v>0.49</v>
      </c>
      <c r="J1532" s="306"/>
      <c r="L1532" s="35" t="s">
        <v>88</v>
      </c>
      <c r="M1532" s="102">
        <f>B1534+B1608</f>
        <v>0.8</v>
      </c>
    </row>
    <row r="1533" spans="1:13" ht="24.75" customHeight="1">
      <c r="A1533" s="487" t="s">
        <v>39</v>
      </c>
      <c r="B1533" s="488"/>
      <c r="C1533" s="489"/>
      <c r="D1533" s="41">
        <v>200</v>
      </c>
      <c r="E1533" s="145">
        <v>2.8</v>
      </c>
      <c r="F1533" s="145">
        <v>2.8</v>
      </c>
      <c r="G1533" s="145">
        <v>13.5</v>
      </c>
      <c r="H1533" s="152">
        <f>E1533*4+F1533*9+G1533*4</f>
        <v>90.4</v>
      </c>
      <c r="I1533" s="306">
        <v>0</v>
      </c>
      <c r="J1533" s="362" t="s">
        <v>392</v>
      </c>
      <c r="L1533" s="35" t="s">
        <v>137</v>
      </c>
      <c r="M1533" s="102">
        <f>B1566+B1591</f>
        <v>160.22</v>
      </c>
    </row>
    <row r="1534" spans="1:12" ht="24.75" customHeight="1">
      <c r="A1534" s="115" t="s">
        <v>16</v>
      </c>
      <c r="B1534" s="16">
        <v>0.4</v>
      </c>
      <c r="C1534" s="16">
        <v>0.4</v>
      </c>
      <c r="D1534" s="16"/>
      <c r="E1534" s="44"/>
      <c r="F1534" s="44"/>
      <c r="G1534" s="44"/>
      <c r="H1534" s="45"/>
      <c r="I1534" s="307"/>
      <c r="J1534" s="306"/>
      <c r="L1534" s="240" t="s">
        <v>208</v>
      </c>
    </row>
    <row r="1535" spans="1:13" ht="32.25" customHeight="1">
      <c r="A1535" s="139" t="s">
        <v>12</v>
      </c>
      <c r="B1535" s="153">
        <v>12</v>
      </c>
      <c r="C1535" s="153">
        <v>12</v>
      </c>
      <c r="D1535" s="153"/>
      <c r="E1535" s="161"/>
      <c r="F1535" s="161"/>
      <c r="G1535" s="161"/>
      <c r="H1535" s="142"/>
      <c r="I1535" s="306"/>
      <c r="J1535" s="306"/>
      <c r="L1535" s="35" t="s">
        <v>89</v>
      </c>
      <c r="M1535" s="102"/>
    </row>
    <row r="1536" spans="1:13" ht="24.75" customHeight="1">
      <c r="A1536" s="182" t="s">
        <v>149</v>
      </c>
      <c r="B1536" s="16">
        <v>100</v>
      </c>
      <c r="C1536" s="16">
        <v>100</v>
      </c>
      <c r="D1536" s="16"/>
      <c r="E1536" s="50"/>
      <c r="F1536" s="50"/>
      <c r="G1536" s="50"/>
      <c r="H1536" s="42"/>
      <c r="I1536" s="307"/>
      <c r="J1536" s="306"/>
      <c r="L1536" s="35" t="s">
        <v>130</v>
      </c>
      <c r="M1536" s="102"/>
    </row>
    <row r="1537" spans="1:13" ht="24.75" customHeight="1">
      <c r="A1537" s="466" t="s">
        <v>151</v>
      </c>
      <c r="B1537" s="466"/>
      <c r="C1537" s="466"/>
      <c r="D1537" s="466"/>
      <c r="E1537" s="466"/>
      <c r="F1537" s="466"/>
      <c r="G1537" s="466"/>
      <c r="H1537" s="466"/>
      <c r="I1537" s="466"/>
      <c r="J1537" s="466"/>
      <c r="L1537" s="36" t="s">
        <v>131</v>
      </c>
      <c r="M1537" s="102">
        <f>B1594+B1520</f>
        <v>137</v>
      </c>
    </row>
    <row r="1538" spans="1:13" ht="51.75" customHeight="1">
      <c r="A1538" s="472" t="s">
        <v>345</v>
      </c>
      <c r="B1538" s="472"/>
      <c r="C1538" s="472"/>
      <c r="D1538" s="143">
        <v>180</v>
      </c>
      <c r="E1538" s="145">
        <v>0.4</v>
      </c>
      <c r="F1538" s="144">
        <v>0</v>
      </c>
      <c r="G1538" s="145">
        <v>18</v>
      </c>
      <c r="H1538" s="152">
        <f>E1538*4+F1538*9+G1538*4</f>
        <v>73.6</v>
      </c>
      <c r="I1538" s="306">
        <v>12</v>
      </c>
      <c r="J1538" s="306"/>
      <c r="L1538" s="39" t="s">
        <v>331</v>
      </c>
      <c r="M1538" s="106">
        <f>B1614</f>
        <v>154</v>
      </c>
    </row>
    <row r="1539" spans="1:13" ht="24.75" customHeight="1">
      <c r="A1539" s="466" t="s">
        <v>59</v>
      </c>
      <c r="B1539" s="466"/>
      <c r="C1539" s="466"/>
      <c r="D1539" s="466"/>
      <c r="E1539" s="128">
        <f>SUM(E1540:E1583)</f>
        <v>28.049999999999997</v>
      </c>
      <c r="F1539" s="128">
        <f>SUM(F1540:F1583)</f>
        <v>24.1</v>
      </c>
      <c r="G1539" s="128">
        <f>SUM(G1540:G1583)</f>
        <v>106.94</v>
      </c>
      <c r="H1539" s="116">
        <f>SUM(H1540:H1583)</f>
        <v>756.02</v>
      </c>
      <c r="I1539" s="128">
        <f>SUM(I1540:I1583)</f>
        <v>11.42142857142857</v>
      </c>
      <c r="J1539" s="128"/>
      <c r="L1539" s="35" t="s">
        <v>90</v>
      </c>
      <c r="M1539" s="102">
        <f>B1532</f>
        <v>100</v>
      </c>
    </row>
    <row r="1540" spans="1:13" ht="24.75" customHeight="1">
      <c r="A1540" s="468" t="s">
        <v>472</v>
      </c>
      <c r="B1540" s="468"/>
      <c r="C1540" s="468"/>
      <c r="D1540" s="41">
        <v>70</v>
      </c>
      <c r="E1540" s="145">
        <v>5.1</v>
      </c>
      <c r="F1540" s="145">
        <v>8.3</v>
      </c>
      <c r="G1540" s="145">
        <v>1.7</v>
      </c>
      <c r="H1540" s="152">
        <f>E1540*4+F1540*9+G1540*4</f>
        <v>101.89999999999999</v>
      </c>
      <c r="I1540" s="306">
        <v>4</v>
      </c>
      <c r="J1540" s="306" t="s">
        <v>348</v>
      </c>
      <c r="L1540" s="35" t="s">
        <v>91</v>
      </c>
      <c r="M1540" s="102">
        <f>B1563</f>
        <v>5</v>
      </c>
    </row>
    <row r="1541" spans="1:13" ht="34.5" customHeight="1">
      <c r="A1541" s="172" t="s">
        <v>476</v>
      </c>
      <c r="B1541" s="16">
        <v>40</v>
      </c>
      <c r="C1541" s="16">
        <v>40</v>
      </c>
      <c r="D1541" s="170"/>
      <c r="E1541" s="47"/>
      <c r="F1541" s="47"/>
      <c r="G1541" s="47"/>
      <c r="H1541" s="99"/>
      <c r="I1541" s="385"/>
      <c r="J1541" s="402"/>
      <c r="L1541" s="35" t="s">
        <v>134</v>
      </c>
      <c r="M1541" s="102">
        <f>B1530</f>
        <v>16</v>
      </c>
    </row>
    <row r="1542" spans="1:13" ht="37.5" customHeight="1">
      <c r="A1542" s="172" t="s">
        <v>473</v>
      </c>
      <c r="B1542" s="42">
        <f>C1542*1.54</f>
        <v>12.32</v>
      </c>
      <c r="C1542" s="16">
        <v>8</v>
      </c>
      <c r="D1542" s="170"/>
      <c r="E1542" s="47"/>
      <c r="F1542" s="47"/>
      <c r="G1542" s="47"/>
      <c r="H1542" s="99"/>
      <c r="I1542" s="385"/>
      <c r="J1542" s="402"/>
      <c r="L1542" s="35" t="s">
        <v>92</v>
      </c>
      <c r="M1542" s="102">
        <f>B1524+B1560+B1578+C1527</f>
        <v>22</v>
      </c>
    </row>
    <row r="1543" spans="1:13" ht="24.75" customHeight="1">
      <c r="A1543" s="172" t="s">
        <v>585</v>
      </c>
      <c r="B1543" s="42">
        <v>14</v>
      </c>
      <c r="C1543" s="16">
        <v>10</v>
      </c>
      <c r="D1543" s="170"/>
      <c r="E1543" s="47"/>
      <c r="F1543" s="47"/>
      <c r="G1543" s="47"/>
      <c r="H1543" s="99"/>
      <c r="I1543" s="385"/>
      <c r="J1543" s="402"/>
      <c r="L1543" s="35" t="s">
        <v>65</v>
      </c>
      <c r="M1543" s="102">
        <f>B1548+B1604+B1596+B1568</f>
        <v>15</v>
      </c>
    </row>
    <row r="1544" spans="1:13" ht="24.75" customHeight="1" thickBot="1">
      <c r="A1544" s="115" t="s">
        <v>26</v>
      </c>
      <c r="B1544" s="161">
        <f>C1544*1.19</f>
        <v>3.57</v>
      </c>
      <c r="C1544" s="16">
        <v>3</v>
      </c>
      <c r="D1544" s="170"/>
      <c r="E1544" s="47"/>
      <c r="F1544" s="47"/>
      <c r="G1544" s="47"/>
      <c r="H1544" s="99"/>
      <c r="I1544" s="385"/>
      <c r="J1544" s="402"/>
      <c r="L1544" s="37" t="s">
        <v>93</v>
      </c>
      <c r="M1544" s="102">
        <f>B1593+B1541</f>
        <v>44.5</v>
      </c>
    </row>
    <row r="1545" spans="1:12" ht="24.75" customHeight="1">
      <c r="A1545" s="115" t="s">
        <v>304</v>
      </c>
      <c r="B1545" s="50">
        <f>C1545*1.25</f>
        <v>3.75</v>
      </c>
      <c r="C1545" s="16">
        <v>3</v>
      </c>
      <c r="D1545" s="170"/>
      <c r="E1545" s="47"/>
      <c r="F1545" s="47"/>
      <c r="G1545" s="47"/>
      <c r="H1545" s="99"/>
      <c r="I1545" s="385"/>
      <c r="J1545" s="402"/>
      <c r="L1545" s="241" t="s">
        <v>209</v>
      </c>
    </row>
    <row r="1546" spans="1:13" ht="24.75" customHeight="1">
      <c r="A1546" s="115" t="s">
        <v>223</v>
      </c>
      <c r="B1546" s="42">
        <f>C1546*1.05</f>
        <v>10.5</v>
      </c>
      <c r="C1546" s="16">
        <v>10</v>
      </c>
      <c r="D1546" s="170"/>
      <c r="E1546" s="47"/>
      <c r="F1546" s="47"/>
      <c r="G1546" s="47"/>
      <c r="H1546" s="99"/>
      <c r="I1546" s="385"/>
      <c r="J1546" s="402"/>
      <c r="L1546" s="39" t="s">
        <v>219</v>
      </c>
      <c r="M1546" s="244"/>
    </row>
    <row r="1547" spans="1:13" ht="24.75" customHeight="1">
      <c r="A1547" s="115" t="s">
        <v>224</v>
      </c>
      <c r="B1547" s="50">
        <f>C1547*1.02</f>
        <v>10.2</v>
      </c>
      <c r="C1547" s="16">
        <v>10</v>
      </c>
      <c r="D1547" s="170"/>
      <c r="E1547" s="47"/>
      <c r="F1547" s="47"/>
      <c r="G1547" s="47"/>
      <c r="H1547" s="99"/>
      <c r="I1547" s="385"/>
      <c r="J1547" s="402"/>
      <c r="M1547" s="244"/>
    </row>
    <row r="1548" spans="1:10" ht="24.75" customHeight="1">
      <c r="A1548" s="115" t="s">
        <v>20</v>
      </c>
      <c r="B1548" s="16">
        <v>4</v>
      </c>
      <c r="C1548" s="16">
        <v>4</v>
      </c>
      <c r="D1548" s="170"/>
      <c r="E1548" s="47"/>
      <c r="F1548" s="47"/>
      <c r="G1548" s="47"/>
      <c r="H1548" s="99"/>
      <c r="I1548" s="385"/>
      <c r="J1548" s="402"/>
    </row>
    <row r="1549" spans="1:10" ht="24.75" customHeight="1">
      <c r="A1549" s="454" t="s">
        <v>586</v>
      </c>
      <c r="B1549" s="454"/>
      <c r="C1549" s="454"/>
      <c r="D1549" s="43" t="s">
        <v>275</v>
      </c>
      <c r="E1549" s="54">
        <v>4.27</v>
      </c>
      <c r="F1549" s="54">
        <v>4.94</v>
      </c>
      <c r="G1549" s="54">
        <v>14.8</v>
      </c>
      <c r="H1549" s="45">
        <f>E1549*4+F1549*9+G1549*4</f>
        <v>120.74000000000001</v>
      </c>
      <c r="I1549" s="307">
        <v>2.6214285714285714</v>
      </c>
      <c r="J1549" s="362" t="s">
        <v>489</v>
      </c>
    </row>
    <row r="1550" spans="1:10" ht="24.75" customHeight="1">
      <c r="A1550" s="437" t="s">
        <v>52</v>
      </c>
      <c r="B1550" s="437">
        <v>16</v>
      </c>
      <c r="C1550" s="437">
        <v>14</v>
      </c>
      <c r="D1550" s="43"/>
      <c r="E1550" s="54"/>
      <c r="F1550" s="54"/>
      <c r="G1550" s="54"/>
      <c r="H1550" s="45"/>
      <c r="I1550" s="307"/>
      <c r="J1550" s="362"/>
    </row>
    <row r="1551" spans="1:10" ht="24.75" customHeight="1">
      <c r="A1551" s="123" t="s">
        <v>53</v>
      </c>
      <c r="B1551" s="94">
        <f>C1551*1.25</f>
        <v>81.25</v>
      </c>
      <c r="C1551" s="94">
        <v>65</v>
      </c>
      <c r="D1551" s="193"/>
      <c r="E1551" s="192"/>
      <c r="F1551" s="192"/>
      <c r="G1551" s="192"/>
      <c r="H1551" s="193"/>
      <c r="I1551" s="321"/>
      <c r="J1551" s="319"/>
    </row>
    <row r="1552" spans="1:10" ht="24.75" customHeight="1">
      <c r="A1552" s="123" t="s">
        <v>19</v>
      </c>
      <c r="B1552" s="94">
        <f>C1552*1.33</f>
        <v>86.45</v>
      </c>
      <c r="C1552" s="94">
        <v>65</v>
      </c>
      <c r="D1552" s="193"/>
      <c r="E1552" s="192"/>
      <c r="F1552" s="192"/>
      <c r="G1552" s="192"/>
      <c r="H1552" s="193"/>
      <c r="I1552" s="321"/>
      <c r="J1552" s="319"/>
    </row>
    <row r="1553" spans="1:10" ht="24.75" customHeight="1">
      <c r="A1553" s="184" t="s">
        <v>21</v>
      </c>
      <c r="B1553" s="187">
        <f>C1553*1.33</f>
        <v>66.5</v>
      </c>
      <c r="C1553" s="187">
        <v>50</v>
      </c>
      <c r="D1553" s="143"/>
      <c r="E1553" s="144"/>
      <c r="F1553" s="144"/>
      <c r="G1553" s="144"/>
      <c r="H1553" s="152"/>
      <c r="I1553" s="306"/>
      <c r="J1553" s="306"/>
    </row>
    <row r="1554" spans="1:10" ht="24.75" customHeight="1">
      <c r="A1554" s="123" t="s">
        <v>22</v>
      </c>
      <c r="B1554" s="94">
        <f>C1554*1.43</f>
        <v>71.5</v>
      </c>
      <c r="C1554" s="187">
        <v>50</v>
      </c>
      <c r="D1554" s="193"/>
      <c r="E1554" s="192"/>
      <c r="F1554" s="192"/>
      <c r="G1554" s="192"/>
      <c r="H1554" s="193"/>
      <c r="I1554" s="321"/>
      <c r="J1554" s="319"/>
    </row>
    <row r="1555" spans="1:10" ht="24.75" customHeight="1">
      <c r="A1555" s="123" t="s">
        <v>23</v>
      </c>
      <c r="B1555" s="94">
        <f>C1555*1.54</f>
        <v>77</v>
      </c>
      <c r="C1555" s="187">
        <v>50</v>
      </c>
      <c r="D1555" s="193"/>
      <c r="E1555" s="192"/>
      <c r="F1555" s="192"/>
      <c r="G1555" s="192"/>
      <c r="H1555" s="193"/>
      <c r="I1555" s="321"/>
      <c r="J1555" s="319"/>
    </row>
    <row r="1556" spans="1:10" ht="24.75" customHeight="1">
      <c r="A1556" s="123" t="s">
        <v>24</v>
      </c>
      <c r="B1556" s="94">
        <f>C1556*1.67</f>
        <v>83.5</v>
      </c>
      <c r="C1556" s="187">
        <v>50</v>
      </c>
      <c r="D1556" s="193"/>
      <c r="E1556" s="192"/>
      <c r="F1556" s="192"/>
      <c r="G1556" s="192"/>
      <c r="H1556" s="193"/>
      <c r="I1556" s="321"/>
      <c r="J1556" s="319"/>
    </row>
    <row r="1557" spans="1:10" ht="24.75" customHeight="1">
      <c r="A1557" s="123" t="s">
        <v>25</v>
      </c>
      <c r="B1557" s="140">
        <f>C1557*1.25</f>
        <v>12.5</v>
      </c>
      <c r="C1557" s="94">
        <v>10</v>
      </c>
      <c r="D1557" s="193"/>
      <c r="E1557" s="192"/>
      <c r="F1557" s="192"/>
      <c r="G1557" s="192"/>
      <c r="H1557" s="193"/>
      <c r="I1557" s="321"/>
      <c r="J1557" s="319"/>
    </row>
    <row r="1558" spans="1:10" ht="24.75" customHeight="1">
      <c r="A1558" s="123" t="s">
        <v>19</v>
      </c>
      <c r="B1558" s="94">
        <f>C1558*1.33</f>
        <v>13.3</v>
      </c>
      <c r="C1558" s="94">
        <v>10</v>
      </c>
      <c r="D1558" s="193"/>
      <c r="E1558" s="192"/>
      <c r="F1558" s="192"/>
      <c r="G1558" s="192"/>
      <c r="H1558" s="193"/>
      <c r="I1558" s="321"/>
      <c r="J1558" s="319"/>
    </row>
    <row r="1559" spans="1:10" ht="24.75" customHeight="1">
      <c r="A1559" s="123" t="s">
        <v>26</v>
      </c>
      <c r="B1559" s="94">
        <f>C1559*1.19</f>
        <v>10.4125</v>
      </c>
      <c r="C1559" s="94">
        <v>8.75</v>
      </c>
      <c r="D1559" s="193"/>
      <c r="E1559" s="192"/>
      <c r="F1559" s="192"/>
      <c r="G1559" s="192"/>
      <c r="H1559" s="193"/>
      <c r="I1559" s="321"/>
      <c r="J1559" s="319"/>
    </row>
    <row r="1560" spans="1:10" ht="16.5" customHeight="1">
      <c r="A1560" s="123" t="s">
        <v>27</v>
      </c>
      <c r="B1560" s="94">
        <v>6</v>
      </c>
      <c r="C1560" s="94">
        <v>6.25</v>
      </c>
      <c r="D1560" s="193"/>
      <c r="E1560" s="192"/>
      <c r="F1560" s="192"/>
      <c r="G1560" s="192"/>
      <c r="H1560" s="193"/>
      <c r="I1560" s="321"/>
      <c r="J1560" s="319"/>
    </row>
    <row r="1561" spans="1:10" ht="9" customHeight="1">
      <c r="A1561" s="184" t="s">
        <v>12</v>
      </c>
      <c r="B1561" s="187">
        <v>1</v>
      </c>
      <c r="C1561" s="187">
        <v>1</v>
      </c>
      <c r="D1561" s="233"/>
      <c r="E1561" s="186"/>
      <c r="F1561" s="186"/>
      <c r="G1561" s="186"/>
      <c r="H1561" s="233"/>
      <c r="I1561" s="319"/>
      <c r="J1561" s="319"/>
    </row>
    <row r="1562" spans="1:10" ht="24.75" customHeight="1">
      <c r="A1562" s="141" t="s">
        <v>215</v>
      </c>
      <c r="B1562" s="94">
        <v>1</v>
      </c>
      <c r="C1562" s="94">
        <v>1</v>
      </c>
      <c r="D1562" s="191"/>
      <c r="E1562" s="191"/>
      <c r="F1562" s="192"/>
      <c r="G1562" s="192"/>
      <c r="H1562" s="193"/>
      <c r="I1562" s="321"/>
      <c r="J1562" s="319"/>
    </row>
    <row r="1563" spans="1:10" ht="24.75" customHeight="1">
      <c r="A1563" s="115" t="s">
        <v>95</v>
      </c>
      <c r="B1563" s="112">
        <v>5</v>
      </c>
      <c r="C1563" s="112">
        <v>5</v>
      </c>
      <c r="D1563" s="16"/>
      <c r="E1563" s="50"/>
      <c r="F1563" s="50"/>
      <c r="G1563" s="50"/>
      <c r="H1563" s="42"/>
      <c r="I1563" s="307"/>
      <c r="J1563" s="306"/>
    </row>
    <row r="1564" spans="1:10" ht="24.75" customHeight="1">
      <c r="A1564" s="123" t="s">
        <v>70</v>
      </c>
      <c r="B1564" s="94">
        <f>C1564*1.35</f>
        <v>4.050000000000001</v>
      </c>
      <c r="C1564" s="112">
        <v>3</v>
      </c>
      <c r="D1564" s="16"/>
      <c r="E1564" s="50"/>
      <c r="F1564" s="50"/>
      <c r="G1564" s="50"/>
      <c r="H1564" s="42"/>
      <c r="I1564" s="307"/>
      <c r="J1564" s="306"/>
    </row>
    <row r="1565" spans="1:10" ht="24.75" customHeight="1">
      <c r="A1565" s="46" t="s">
        <v>497</v>
      </c>
      <c r="B1565" s="16"/>
      <c r="C1565" s="16"/>
      <c r="D1565" s="41">
        <v>240</v>
      </c>
      <c r="E1565" s="145">
        <v>9.5</v>
      </c>
      <c r="F1565" s="145">
        <v>9.3</v>
      </c>
      <c r="G1565" s="145">
        <v>25</v>
      </c>
      <c r="H1565" s="152">
        <f>E1565*4+F1565*9+G1565*4</f>
        <v>221.7</v>
      </c>
      <c r="I1565" s="306">
        <v>4.8</v>
      </c>
      <c r="J1565" s="306" t="s">
        <v>348</v>
      </c>
    </row>
    <row r="1566" spans="1:10" ht="24.75" customHeight="1">
      <c r="A1566" s="117" t="s">
        <v>69</v>
      </c>
      <c r="B1566" s="138">
        <f>C1566*1.18</f>
        <v>93.22</v>
      </c>
      <c r="C1566" s="16">
        <v>79</v>
      </c>
      <c r="D1566" s="16"/>
      <c r="E1566" s="16"/>
      <c r="F1566" s="50"/>
      <c r="G1566" s="50"/>
      <c r="H1566" s="42"/>
      <c r="I1566" s="307"/>
      <c r="J1566" s="306"/>
    </row>
    <row r="1567" spans="1:10" ht="24.75" customHeight="1">
      <c r="A1567" s="117" t="s">
        <v>73</v>
      </c>
      <c r="B1567" s="23">
        <f>C1567*1.36</f>
        <v>107.44000000000001</v>
      </c>
      <c r="C1567" s="16">
        <v>79</v>
      </c>
      <c r="D1567" s="16"/>
      <c r="E1567" s="50"/>
      <c r="F1567" s="50"/>
      <c r="G1567" s="50"/>
      <c r="H1567" s="42"/>
      <c r="I1567" s="307"/>
      <c r="J1567" s="306"/>
    </row>
    <row r="1568" spans="1:10" ht="24.75" customHeight="1">
      <c r="A1568" s="115" t="s">
        <v>20</v>
      </c>
      <c r="B1568" s="16">
        <v>3</v>
      </c>
      <c r="C1568" s="16">
        <v>3</v>
      </c>
      <c r="D1568" s="16"/>
      <c r="E1568" s="50"/>
      <c r="F1568" s="50"/>
      <c r="G1568" s="50"/>
      <c r="H1568" s="50"/>
      <c r="I1568" s="50"/>
      <c r="J1568" s="50"/>
    </row>
    <row r="1569" spans="1:10" ht="24.75" customHeight="1">
      <c r="A1569" s="182" t="s">
        <v>21</v>
      </c>
      <c r="B1569" s="94">
        <f>C1569*1.33</f>
        <v>219.45000000000002</v>
      </c>
      <c r="C1569" s="16">
        <v>165</v>
      </c>
      <c r="D1569" s="42"/>
      <c r="E1569" s="161"/>
      <c r="F1569" s="161"/>
      <c r="G1569" s="161"/>
      <c r="H1569" s="42"/>
      <c r="I1569" s="307"/>
      <c r="J1569" s="306"/>
    </row>
    <row r="1570" spans="1:10" ht="24.75" customHeight="1">
      <c r="A1570" s="182" t="s">
        <v>22</v>
      </c>
      <c r="B1570" s="94">
        <f>C1570*1.43</f>
        <v>235.95</v>
      </c>
      <c r="C1570" s="16">
        <v>165</v>
      </c>
      <c r="D1570" s="42"/>
      <c r="E1570" s="50"/>
      <c r="F1570" s="50"/>
      <c r="G1570" s="50"/>
      <c r="H1570" s="42"/>
      <c r="I1570" s="307"/>
      <c r="J1570" s="306"/>
    </row>
    <row r="1571" spans="1:10" ht="24.75" customHeight="1">
      <c r="A1571" s="123" t="s">
        <v>23</v>
      </c>
      <c r="B1571" s="94">
        <f>C1571*1.54</f>
        <v>254.1</v>
      </c>
      <c r="C1571" s="16">
        <v>165</v>
      </c>
      <c r="D1571" s="42"/>
      <c r="E1571" s="50"/>
      <c r="F1571" s="50"/>
      <c r="G1571" s="50"/>
      <c r="H1571" s="42"/>
      <c r="I1571" s="307"/>
      <c r="J1571" s="306"/>
    </row>
    <row r="1572" spans="1:10" ht="24.75" customHeight="1">
      <c r="A1572" s="123" t="s">
        <v>24</v>
      </c>
      <c r="B1572" s="94">
        <f>C1572*1.67</f>
        <v>275.55</v>
      </c>
      <c r="C1572" s="16">
        <v>165</v>
      </c>
      <c r="D1572" s="42"/>
      <c r="E1572" s="50"/>
      <c r="F1572" s="50"/>
      <c r="G1572" s="50"/>
      <c r="H1572" s="42"/>
      <c r="I1572" s="307"/>
      <c r="J1572" s="306"/>
    </row>
    <row r="1573" spans="1:10" ht="24.75" customHeight="1">
      <c r="A1573" s="123" t="s">
        <v>25</v>
      </c>
      <c r="B1573" s="94">
        <f>C1573*1.25</f>
        <v>8.75</v>
      </c>
      <c r="C1573" s="112">
        <v>7</v>
      </c>
      <c r="D1573" s="42"/>
      <c r="E1573" s="140"/>
      <c r="F1573" s="140"/>
      <c r="G1573" s="140"/>
      <c r="H1573" s="94"/>
      <c r="I1573" s="316"/>
      <c r="J1573" s="317"/>
    </row>
    <row r="1574" spans="1:10" ht="24.75" customHeight="1">
      <c r="A1574" s="123" t="s">
        <v>19</v>
      </c>
      <c r="B1574" s="94">
        <f>C1574*1.33</f>
        <v>9.31</v>
      </c>
      <c r="C1574" s="112">
        <v>7</v>
      </c>
      <c r="D1574" s="42"/>
      <c r="E1574" s="140"/>
      <c r="F1574" s="140"/>
      <c r="G1574" s="140"/>
      <c r="H1574" s="94"/>
      <c r="I1574" s="316"/>
      <c r="J1574" s="317"/>
    </row>
    <row r="1575" spans="1:10" ht="24.75" customHeight="1">
      <c r="A1575" s="341" t="s">
        <v>289</v>
      </c>
      <c r="B1575" s="187">
        <f>C1575*1.18</f>
        <v>14.16</v>
      </c>
      <c r="C1575" s="153">
        <v>12</v>
      </c>
      <c r="D1575" s="370"/>
      <c r="E1575" s="159"/>
      <c r="F1575" s="159"/>
      <c r="G1575" s="159"/>
      <c r="H1575" s="215"/>
      <c r="I1575" s="308"/>
      <c r="J1575" s="308"/>
    </row>
    <row r="1576" spans="1:10" ht="24.75" customHeight="1">
      <c r="A1576" s="139" t="s">
        <v>222</v>
      </c>
      <c r="B1576" s="142">
        <f>C1576*1.02</f>
        <v>12.24</v>
      </c>
      <c r="C1576" s="153">
        <v>12</v>
      </c>
      <c r="D1576" s="173"/>
      <c r="E1576" s="128"/>
      <c r="F1576" s="128"/>
      <c r="G1576" s="128"/>
      <c r="H1576" s="116"/>
      <c r="I1576" s="305"/>
      <c r="J1576" s="308"/>
    </row>
    <row r="1577" spans="1:10" ht="24.75" customHeight="1">
      <c r="A1577" s="182" t="s">
        <v>26</v>
      </c>
      <c r="B1577" s="94">
        <f>C1577*1.19</f>
        <v>7.14</v>
      </c>
      <c r="C1577" s="16">
        <v>6</v>
      </c>
      <c r="D1577" s="42"/>
      <c r="E1577" s="50"/>
      <c r="F1577" s="50"/>
      <c r="G1577" s="50"/>
      <c r="H1577" s="42"/>
      <c r="I1577" s="307"/>
      <c r="J1577" s="306"/>
    </row>
    <row r="1578" spans="1:10" ht="24.75" customHeight="1">
      <c r="A1578" s="182" t="s">
        <v>27</v>
      </c>
      <c r="B1578" s="42">
        <v>6</v>
      </c>
      <c r="C1578" s="16">
        <v>6</v>
      </c>
      <c r="D1578" s="42"/>
      <c r="E1578" s="50"/>
      <c r="F1578" s="50"/>
      <c r="G1578" s="50"/>
      <c r="H1578" s="42"/>
      <c r="I1578" s="307"/>
      <c r="J1578" s="306"/>
    </row>
    <row r="1579" spans="1:10" ht="24.75" customHeight="1">
      <c r="A1579" s="481" t="s">
        <v>166</v>
      </c>
      <c r="B1579" s="481"/>
      <c r="C1579" s="481"/>
      <c r="D1579" s="95">
        <v>200</v>
      </c>
      <c r="E1579" s="111">
        <v>0.3</v>
      </c>
      <c r="F1579" s="111">
        <v>0</v>
      </c>
      <c r="G1579" s="111">
        <v>22.6</v>
      </c>
      <c r="H1579" s="45">
        <f>E1579*4+F1579*9+G1579*4</f>
        <v>91.60000000000001</v>
      </c>
      <c r="I1579" s="307">
        <v>0</v>
      </c>
      <c r="J1579" s="306" t="s">
        <v>379</v>
      </c>
    </row>
    <row r="1580" spans="1:10" ht="24.75" customHeight="1">
      <c r="A1580" s="202" t="s">
        <v>67</v>
      </c>
      <c r="B1580" s="199">
        <v>20</v>
      </c>
      <c r="C1580" s="199">
        <v>20</v>
      </c>
      <c r="D1580" s="199"/>
      <c r="E1580" s="200"/>
      <c r="F1580" s="200"/>
      <c r="G1580" s="200"/>
      <c r="H1580" s="201"/>
      <c r="I1580" s="309"/>
      <c r="J1580" s="317"/>
    </row>
    <row r="1581" spans="1:10" ht="24.75" customHeight="1">
      <c r="A1581" s="139" t="s">
        <v>161</v>
      </c>
      <c r="B1581" s="183">
        <v>10</v>
      </c>
      <c r="C1581" s="183">
        <v>10</v>
      </c>
      <c r="D1581" s="183"/>
      <c r="E1581" s="188"/>
      <c r="F1581" s="188"/>
      <c r="G1581" s="188"/>
      <c r="H1581" s="187"/>
      <c r="I1581" s="317"/>
      <c r="J1581" s="317"/>
    </row>
    <row r="1582" spans="1:10" ht="24.75" customHeight="1">
      <c r="A1582" s="461" t="s">
        <v>258</v>
      </c>
      <c r="B1582" s="461"/>
      <c r="C1582" s="461"/>
      <c r="D1582" s="151">
        <v>60</v>
      </c>
      <c r="E1582" s="145">
        <v>4.92</v>
      </c>
      <c r="F1582" s="145">
        <v>0.8400000000000001</v>
      </c>
      <c r="G1582" s="145">
        <v>22.8</v>
      </c>
      <c r="H1582" s="152">
        <v>117.6</v>
      </c>
      <c r="I1582" s="306">
        <v>0</v>
      </c>
      <c r="J1582" s="306"/>
    </row>
    <row r="1583" spans="1:10" ht="39.75" customHeight="1">
      <c r="A1583" s="461" t="s">
        <v>72</v>
      </c>
      <c r="B1583" s="461"/>
      <c r="C1583" s="461"/>
      <c r="D1583" s="151">
        <v>60</v>
      </c>
      <c r="E1583" s="145">
        <v>3.96</v>
      </c>
      <c r="F1583" s="145">
        <v>0.72</v>
      </c>
      <c r="G1583" s="145">
        <v>20.04</v>
      </c>
      <c r="H1583" s="152">
        <v>102.48</v>
      </c>
      <c r="I1583" s="306">
        <v>0</v>
      </c>
      <c r="J1583" s="306"/>
    </row>
    <row r="1584" spans="1:10" ht="24.75" customHeight="1">
      <c r="A1584" s="466" t="s">
        <v>61</v>
      </c>
      <c r="B1584" s="466"/>
      <c r="C1584" s="466"/>
      <c r="D1584" s="466"/>
      <c r="E1584" s="128">
        <f>E1585+E1586</f>
        <v>1.7000000000000002</v>
      </c>
      <c r="F1584" s="128">
        <f>F1585+F1586</f>
        <v>2.5</v>
      </c>
      <c r="G1584" s="128">
        <f>G1585+G1586</f>
        <v>64.8</v>
      </c>
      <c r="H1584" s="116">
        <f>H1585+H1586</f>
        <v>288.5</v>
      </c>
      <c r="I1584" s="128">
        <f>I1585+I1586</f>
        <v>19</v>
      </c>
      <c r="J1584" s="128"/>
    </row>
    <row r="1585" spans="1:10" ht="24.75" customHeight="1">
      <c r="A1585" s="482" t="s">
        <v>265</v>
      </c>
      <c r="B1585" s="482"/>
      <c r="C1585" s="482"/>
      <c r="D1585" s="151">
        <v>30</v>
      </c>
      <c r="E1585" s="145">
        <v>1.6</v>
      </c>
      <c r="F1585" s="145">
        <v>2.5</v>
      </c>
      <c r="G1585" s="145">
        <v>42.8</v>
      </c>
      <c r="H1585" s="152">
        <f>E1585*4+F1585*9+G1585*4</f>
        <v>200.1</v>
      </c>
      <c r="I1585" s="306">
        <v>0</v>
      </c>
      <c r="J1585" s="306"/>
    </row>
    <row r="1586" spans="1:10" ht="24.75" customHeight="1">
      <c r="A1586" s="482" t="s">
        <v>504</v>
      </c>
      <c r="B1586" s="482"/>
      <c r="C1586" s="482"/>
      <c r="D1586" s="143">
        <v>200</v>
      </c>
      <c r="E1586" s="143">
        <v>0.1</v>
      </c>
      <c r="F1586" s="144">
        <v>0</v>
      </c>
      <c r="G1586" s="144">
        <v>22</v>
      </c>
      <c r="H1586" s="152">
        <f>E1586*4+F1586*9+G1586*4</f>
        <v>88.4</v>
      </c>
      <c r="I1586" s="317">
        <v>19</v>
      </c>
      <c r="J1586" s="317" t="s">
        <v>503</v>
      </c>
    </row>
    <row r="1587" spans="1:10" ht="24.75" customHeight="1">
      <c r="A1587" s="469" t="s">
        <v>30</v>
      </c>
      <c r="B1587" s="470"/>
      <c r="C1587" s="470"/>
      <c r="D1587" s="471"/>
      <c r="E1587" s="128">
        <f>SUM(E1588:E1614)</f>
        <v>20.4</v>
      </c>
      <c r="F1587" s="128">
        <f>SUM(F1588:F1614)</f>
        <v>20.419999999999998</v>
      </c>
      <c r="G1587" s="128">
        <f>SUM(G1588:G1614)</f>
        <v>53.42</v>
      </c>
      <c r="H1587" s="116">
        <f>SUM(H1588:H1614)</f>
        <v>478.78</v>
      </c>
      <c r="I1587" s="128">
        <f>SUM(I1588:I1614)</f>
        <v>30.201</v>
      </c>
      <c r="J1587" s="159"/>
    </row>
    <row r="1588" spans="1:10" ht="24.75" customHeight="1">
      <c r="A1588" s="473" t="s">
        <v>475</v>
      </c>
      <c r="B1588" s="474"/>
      <c r="C1588" s="475"/>
      <c r="D1588" s="151">
        <v>90</v>
      </c>
      <c r="E1588" s="145">
        <v>8</v>
      </c>
      <c r="F1588" s="145">
        <v>7.9</v>
      </c>
      <c r="G1588" s="145">
        <v>6.9</v>
      </c>
      <c r="H1588" s="45">
        <f>E1588*4+F1588*9+G1588*4</f>
        <v>130.70000000000002</v>
      </c>
      <c r="I1588" s="307">
        <v>0.47700000000000004</v>
      </c>
      <c r="J1588" s="306" t="s">
        <v>463</v>
      </c>
    </row>
    <row r="1589" spans="1:10" ht="24.75" customHeight="1">
      <c r="A1589" s="195" t="s">
        <v>62</v>
      </c>
      <c r="B1589" s="196">
        <f>C1589*1.36</f>
        <v>91.12</v>
      </c>
      <c r="C1589" s="153">
        <v>67</v>
      </c>
      <c r="D1589" s="152"/>
      <c r="E1589" s="145"/>
      <c r="F1589" s="145"/>
      <c r="G1589" s="145"/>
      <c r="H1589" s="152"/>
      <c r="I1589" s="306"/>
      <c r="J1589" s="306"/>
    </row>
    <row r="1590" spans="1:10" ht="24.75" customHeight="1">
      <c r="A1590" s="117" t="s">
        <v>74</v>
      </c>
      <c r="B1590" s="218">
        <f>C1590*1.18</f>
        <v>79.06</v>
      </c>
      <c r="C1590" s="153">
        <v>67</v>
      </c>
      <c r="D1590" s="152"/>
      <c r="E1590" s="145"/>
      <c r="F1590" s="145"/>
      <c r="G1590" s="145"/>
      <c r="H1590" s="45"/>
      <c r="I1590" s="307"/>
      <c r="J1590" s="306"/>
    </row>
    <row r="1591" spans="1:10" ht="24.75" customHeight="1">
      <c r="A1591" s="117" t="s">
        <v>414</v>
      </c>
      <c r="B1591" s="218">
        <f>C1591</f>
        <v>67</v>
      </c>
      <c r="C1591" s="153">
        <v>67</v>
      </c>
      <c r="D1591" s="152"/>
      <c r="E1591" s="145"/>
      <c r="F1591" s="145"/>
      <c r="G1591" s="145"/>
      <c r="H1591" s="45"/>
      <c r="I1591" s="307"/>
      <c r="J1591" s="306"/>
    </row>
    <row r="1592" spans="1:10" ht="24.75" customHeight="1">
      <c r="A1592" s="139" t="s">
        <v>36</v>
      </c>
      <c r="B1592" s="153">
        <v>16</v>
      </c>
      <c r="C1592" s="153">
        <v>16</v>
      </c>
      <c r="D1592" s="151"/>
      <c r="E1592" s="145"/>
      <c r="F1592" s="145"/>
      <c r="G1592" s="145"/>
      <c r="H1592" s="45"/>
      <c r="I1592" s="307"/>
      <c r="J1592" s="306"/>
    </row>
    <row r="1593" spans="1:10" ht="24.75" customHeight="1">
      <c r="A1593" s="139" t="s">
        <v>29</v>
      </c>
      <c r="B1593" s="153">
        <v>4.5</v>
      </c>
      <c r="C1593" s="153">
        <v>4.5</v>
      </c>
      <c r="D1593" s="152"/>
      <c r="E1593" s="145"/>
      <c r="F1593" s="145"/>
      <c r="G1593" s="145"/>
      <c r="H1593" s="152"/>
      <c r="I1593" s="306"/>
      <c r="J1593" s="306"/>
    </row>
    <row r="1594" spans="1:10" ht="24.75" customHeight="1">
      <c r="A1594" s="182" t="s">
        <v>149</v>
      </c>
      <c r="B1594" s="153">
        <v>17</v>
      </c>
      <c r="C1594" s="153">
        <v>17</v>
      </c>
      <c r="D1594" s="152"/>
      <c r="E1594" s="145"/>
      <c r="F1594" s="145"/>
      <c r="G1594" s="145"/>
      <c r="H1594" s="152"/>
      <c r="I1594" s="306"/>
      <c r="J1594" s="306"/>
    </row>
    <row r="1595" spans="1:10" ht="24.75" customHeight="1">
      <c r="A1595" s="123" t="s">
        <v>167</v>
      </c>
      <c r="B1595" s="153">
        <v>9</v>
      </c>
      <c r="C1595" s="153">
        <v>9</v>
      </c>
      <c r="D1595" s="152"/>
      <c r="E1595" s="145"/>
      <c r="F1595" s="145"/>
      <c r="G1595" s="145"/>
      <c r="H1595" s="152"/>
      <c r="I1595" s="306"/>
      <c r="J1595" s="306"/>
    </row>
    <row r="1596" spans="1:10" ht="24.75" customHeight="1">
      <c r="A1596" s="139" t="s">
        <v>20</v>
      </c>
      <c r="B1596" s="153">
        <v>4</v>
      </c>
      <c r="C1596" s="153">
        <v>4</v>
      </c>
      <c r="D1596" s="152"/>
      <c r="E1596" s="145"/>
      <c r="F1596" s="145"/>
      <c r="G1596" s="145"/>
      <c r="H1596" s="152"/>
      <c r="I1596" s="306"/>
      <c r="J1596" s="306"/>
    </row>
    <row r="1597" spans="1:10" ht="24.75" customHeight="1">
      <c r="A1597" s="468" t="s">
        <v>45</v>
      </c>
      <c r="B1597" s="468"/>
      <c r="C1597" s="468"/>
      <c r="D1597" s="151">
        <v>150</v>
      </c>
      <c r="E1597" s="145">
        <v>2.3</v>
      </c>
      <c r="F1597" s="145">
        <v>3.8</v>
      </c>
      <c r="G1597" s="145">
        <v>11.3</v>
      </c>
      <c r="H1597" s="152">
        <f>E1597*4+F1597*9+G1597*4</f>
        <v>88.6</v>
      </c>
      <c r="I1597" s="306">
        <v>28.7</v>
      </c>
      <c r="J1597" s="306" t="s">
        <v>474</v>
      </c>
    </row>
    <row r="1598" spans="1:10" ht="24.75" customHeight="1">
      <c r="A1598" s="139" t="s">
        <v>46</v>
      </c>
      <c r="B1598" s="94">
        <f>C1598*1.25</f>
        <v>216.25</v>
      </c>
      <c r="C1598" s="94">
        <v>173</v>
      </c>
      <c r="D1598" s="140"/>
      <c r="E1598" s="140"/>
      <c r="F1598" s="140"/>
      <c r="G1598" s="140"/>
      <c r="H1598" s="94"/>
      <c r="I1598" s="316"/>
      <c r="J1598" s="317"/>
    </row>
    <row r="1599" spans="1:10" ht="24.75" customHeight="1">
      <c r="A1599" s="123" t="s">
        <v>25</v>
      </c>
      <c r="B1599" s="140">
        <f>C1599*1.25</f>
        <v>3.75</v>
      </c>
      <c r="C1599" s="112">
        <v>3</v>
      </c>
      <c r="D1599" s="140"/>
      <c r="E1599" s="140"/>
      <c r="F1599" s="140"/>
      <c r="G1599" s="140"/>
      <c r="H1599" s="94"/>
      <c r="I1599" s="316"/>
      <c r="J1599" s="317"/>
    </row>
    <row r="1600" spans="1:10" ht="24.75" customHeight="1">
      <c r="A1600" s="123" t="s">
        <v>19</v>
      </c>
      <c r="B1600" s="94">
        <f>C1600*1.33</f>
        <v>3.99</v>
      </c>
      <c r="C1600" s="112">
        <v>3</v>
      </c>
      <c r="D1600" s="140"/>
      <c r="E1600" s="140"/>
      <c r="F1600" s="140"/>
      <c r="G1600" s="140"/>
      <c r="H1600" s="140"/>
      <c r="I1600" s="140"/>
      <c r="J1600" s="317"/>
    </row>
    <row r="1601" spans="1:10" ht="24.75" customHeight="1">
      <c r="A1601" s="141" t="s">
        <v>215</v>
      </c>
      <c r="B1601" s="94">
        <v>3</v>
      </c>
      <c r="C1601" s="94">
        <v>3</v>
      </c>
      <c r="D1601" s="140"/>
      <c r="E1601" s="140"/>
      <c r="F1601" s="140"/>
      <c r="G1601" s="140"/>
      <c r="H1601" s="94"/>
      <c r="I1601" s="316"/>
      <c r="J1601" s="317"/>
    </row>
    <row r="1602" spans="1:10" ht="24.75" customHeight="1">
      <c r="A1602" s="123" t="s">
        <v>26</v>
      </c>
      <c r="B1602" s="94">
        <f>C1602*1.19</f>
        <v>8.33</v>
      </c>
      <c r="C1602" s="94">
        <v>7</v>
      </c>
      <c r="D1602" s="140"/>
      <c r="E1602" s="140"/>
      <c r="F1602" s="140"/>
      <c r="G1602" s="140"/>
      <c r="H1602" s="94"/>
      <c r="I1602" s="316"/>
      <c r="J1602" s="317"/>
    </row>
    <row r="1603" spans="1:10" ht="24.75" customHeight="1">
      <c r="A1603" s="123" t="s">
        <v>28</v>
      </c>
      <c r="B1603" s="140">
        <v>1.5</v>
      </c>
      <c r="C1603" s="140">
        <v>1.5</v>
      </c>
      <c r="D1603" s="140"/>
      <c r="E1603" s="140"/>
      <c r="F1603" s="140"/>
      <c r="G1603" s="140"/>
      <c r="H1603" s="94"/>
      <c r="I1603" s="316"/>
      <c r="J1603" s="317"/>
    </row>
    <row r="1604" spans="1:10" ht="24.75" customHeight="1">
      <c r="A1604" s="123" t="s">
        <v>20</v>
      </c>
      <c r="B1604" s="94">
        <v>4</v>
      </c>
      <c r="C1604" s="94">
        <v>4</v>
      </c>
      <c r="D1604" s="140"/>
      <c r="E1604" s="140"/>
      <c r="F1604" s="140"/>
      <c r="G1604" s="140"/>
      <c r="H1604" s="94"/>
      <c r="I1604" s="316"/>
      <c r="J1604" s="317"/>
    </row>
    <row r="1605" spans="1:10" ht="24.75" customHeight="1">
      <c r="A1605" s="184" t="s">
        <v>172</v>
      </c>
      <c r="B1605" s="188">
        <v>1.5</v>
      </c>
      <c r="C1605" s="188">
        <v>1.5</v>
      </c>
      <c r="D1605" s="140"/>
      <c r="E1605" s="188"/>
      <c r="F1605" s="188"/>
      <c r="G1605" s="188"/>
      <c r="H1605" s="187"/>
      <c r="I1605" s="317"/>
      <c r="J1605" s="317"/>
    </row>
    <row r="1606" spans="1:10" ht="24.75" customHeight="1">
      <c r="A1606" s="123" t="s">
        <v>70</v>
      </c>
      <c r="B1606" s="94">
        <f>C1606*1.35</f>
        <v>2.9700000000000006</v>
      </c>
      <c r="C1606" s="94">
        <v>2.2</v>
      </c>
      <c r="D1606" s="94"/>
      <c r="E1606" s="140"/>
      <c r="F1606" s="140"/>
      <c r="G1606" s="140"/>
      <c r="H1606" s="94"/>
      <c r="I1606" s="316"/>
      <c r="J1606" s="317"/>
    </row>
    <row r="1607" spans="1:10" ht="37.5" customHeight="1">
      <c r="A1607" s="468" t="s">
        <v>37</v>
      </c>
      <c r="B1607" s="468"/>
      <c r="C1607" s="468"/>
      <c r="D1607" s="41">
        <v>200</v>
      </c>
      <c r="E1607" s="44">
        <v>0.2</v>
      </c>
      <c r="F1607" s="44">
        <v>0</v>
      </c>
      <c r="G1607" s="44">
        <v>10.9</v>
      </c>
      <c r="H1607" s="152">
        <f>E1607*4+F1607*9+G1607*4</f>
        <v>44.4</v>
      </c>
      <c r="I1607" s="307">
        <v>0</v>
      </c>
      <c r="J1607" s="306" t="s">
        <v>353</v>
      </c>
    </row>
    <row r="1608" spans="1:10" ht="24.75" customHeight="1">
      <c r="A1608" s="115" t="s">
        <v>16</v>
      </c>
      <c r="B1608" s="16">
        <v>0.4</v>
      </c>
      <c r="C1608" s="16">
        <v>0.4</v>
      </c>
      <c r="D1608" s="16"/>
      <c r="E1608" s="50"/>
      <c r="F1608" s="50"/>
      <c r="G1608" s="50"/>
      <c r="H1608" s="42"/>
      <c r="I1608" s="307"/>
      <c r="J1608" s="306"/>
    </row>
    <row r="1609" spans="1:10" ht="24.75" customHeight="1">
      <c r="A1609" s="139" t="s">
        <v>161</v>
      </c>
      <c r="B1609" s="153">
        <v>12</v>
      </c>
      <c r="C1609" s="153">
        <v>12</v>
      </c>
      <c r="D1609" s="153"/>
      <c r="E1609" s="161"/>
      <c r="F1609" s="161"/>
      <c r="G1609" s="161"/>
      <c r="H1609" s="161"/>
      <c r="I1609" s="161"/>
      <c r="J1609" s="306"/>
    </row>
    <row r="1610" spans="1:10" ht="24.75" customHeight="1">
      <c r="A1610" s="482" t="s">
        <v>477</v>
      </c>
      <c r="B1610" s="482"/>
      <c r="C1610" s="482"/>
      <c r="D1610" s="151">
        <v>15</v>
      </c>
      <c r="E1610" s="145">
        <v>3.7</v>
      </c>
      <c r="F1610" s="145">
        <v>4.6</v>
      </c>
      <c r="G1610" s="145">
        <v>4</v>
      </c>
      <c r="H1610" s="152">
        <f>E1610*4+F1610*9+G1610*4</f>
        <v>72.2</v>
      </c>
      <c r="I1610" s="145">
        <v>0.004</v>
      </c>
      <c r="J1610" s="50"/>
    </row>
    <row r="1611" spans="1:10" ht="34.5" customHeight="1">
      <c r="A1611" s="461" t="s">
        <v>72</v>
      </c>
      <c r="B1611" s="461"/>
      <c r="C1611" s="461"/>
      <c r="D1611" s="151">
        <v>20</v>
      </c>
      <c r="E1611" s="145">
        <v>1.36</v>
      </c>
      <c r="F1611" s="145">
        <v>0.24</v>
      </c>
      <c r="G1611" s="145">
        <v>6.72</v>
      </c>
      <c r="H1611" s="152">
        <v>34.48</v>
      </c>
      <c r="I1611" s="306">
        <v>0</v>
      </c>
      <c r="J1611" s="306"/>
    </row>
    <row r="1612" spans="1:10" ht="24.75" customHeight="1">
      <c r="A1612" s="461" t="s">
        <v>258</v>
      </c>
      <c r="B1612" s="461"/>
      <c r="C1612" s="461"/>
      <c r="D1612" s="151">
        <v>20</v>
      </c>
      <c r="E1612" s="145">
        <v>1.64</v>
      </c>
      <c r="F1612" s="145">
        <v>0.28</v>
      </c>
      <c r="G1612" s="145">
        <v>7.6</v>
      </c>
      <c r="H1612" s="152">
        <v>39.2</v>
      </c>
      <c r="I1612" s="306">
        <v>0</v>
      </c>
      <c r="J1612" s="306"/>
    </row>
    <row r="1613" spans="1:10" ht="24.75" customHeight="1">
      <c r="A1613" s="466" t="s">
        <v>232</v>
      </c>
      <c r="B1613" s="466"/>
      <c r="C1613" s="466"/>
      <c r="D1613" s="466"/>
      <c r="E1613" s="466"/>
      <c r="F1613" s="466"/>
      <c r="G1613" s="466"/>
      <c r="H1613" s="466"/>
      <c r="I1613" s="466"/>
      <c r="J1613" s="466"/>
    </row>
    <row r="1614" spans="1:10" ht="68.25" customHeight="1">
      <c r="A1614" s="274" t="s">
        <v>257</v>
      </c>
      <c r="B1614" s="16">
        <v>154</v>
      </c>
      <c r="C1614" s="112">
        <v>150</v>
      </c>
      <c r="D1614" s="41">
        <v>150</v>
      </c>
      <c r="E1614" s="44">
        <v>3.2</v>
      </c>
      <c r="F1614" s="44">
        <v>3.6</v>
      </c>
      <c r="G1614" s="44">
        <v>6</v>
      </c>
      <c r="H1614" s="45">
        <f>E1614*4+F1614*9+G1614*4</f>
        <v>69.2</v>
      </c>
      <c r="I1614" s="307">
        <v>1.02</v>
      </c>
      <c r="J1614" s="306" t="s">
        <v>372</v>
      </c>
    </row>
    <row r="1615" spans="1:10" ht="24.75" customHeight="1">
      <c r="A1615" s="478" t="s">
        <v>141</v>
      </c>
      <c r="B1615" s="478"/>
      <c r="C1615" s="478"/>
      <c r="D1615" s="478"/>
      <c r="E1615" s="216">
        <f>E1613+E1587+E1584+E1539+E1517+E1537</f>
        <v>65.05</v>
      </c>
      <c r="F1615" s="216">
        <f>F1613+F1587+F1584+F1539+F1517+F1537</f>
        <v>71.32</v>
      </c>
      <c r="G1615" s="217">
        <f>G1613+G1587+G1584+G1539+G1517+G1537</f>
        <v>308.76</v>
      </c>
      <c r="H1615" s="217">
        <f>H1613+H1587+H1584+H1539+H1517+H1537</f>
        <v>2136</v>
      </c>
      <c r="I1615" s="318">
        <f>I1613+I1587+I1584+I1539+I1517+I1537</f>
        <v>76.11242857142857</v>
      </c>
      <c r="J1615" s="324"/>
    </row>
    <row r="1616" spans="1:10" ht="24.75" customHeight="1">
      <c r="A1616" s="460" t="s">
        <v>526</v>
      </c>
      <c r="B1616" s="460"/>
      <c r="C1616" s="460"/>
      <c r="D1616" s="460"/>
      <c r="E1616" s="116">
        <f>(E1615+E1511+E1363+E1260+E1138+E1042+E958+E849+E751+E658+E528+E386+E291+E127)/14</f>
        <v>64.1894104010025</v>
      </c>
      <c r="F1616" s="116">
        <f>(F1615+F1511+F1363+F1260+F1138+F1042+F958+F849+F751+F658+F528+F386+F291+F127)/14</f>
        <v>70.25415750915751</v>
      </c>
      <c r="G1616" s="116">
        <f>(G1615+G1511+G1363+G1260+G1138+G1042+G958+G849+G751+G658+G528+G386+G291+G127)/14</f>
        <v>307.68952380952385</v>
      </c>
      <c r="H1616" s="116">
        <f>(H1615+H1511+H1363+H1260+H1138+H1042+H958+H849+H751+H658+H528+H386+H291+H127)/14</f>
        <v>2120.136725853094</v>
      </c>
      <c r="I1616" s="116"/>
      <c r="J1616" s="411"/>
    </row>
    <row r="1617" spans="1:10" ht="24.75" customHeight="1">
      <c r="A1617" s="459" t="s">
        <v>537</v>
      </c>
      <c r="B1617" s="459"/>
      <c r="C1617" s="459"/>
      <c r="D1617" s="459"/>
      <c r="E1617" s="412">
        <v>63</v>
      </c>
      <c r="F1617" s="412">
        <v>70</v>
      </c>
      <c r="G1617" s="413">
        <v>305</v>
      </c>
      <c r="H1617" s="412">
        <v>2100</v>
      </c>
      <c r="I1617" s="414"/>
      <c r="J1617" s="415"/>
    </row>
    <row r="1618" spans="1:10" ht="24.75" customHeight="1">
      <c r="A1618" s="526" t="s">
        <v>538</v>
      </c>
      <c r="B1618" s="526"/>
      <c r="C1618" s="526"/>
      <c r="D1618" s="526"/>
      <c r="E1618" s="526"/>
      <c r="F1618" s="526"/>
      <c r="G1618" s="526"/>
      <c r="H1618" s="526"/>
      <c r="I1618" s="526"/>
      <c r="J1618" s="526"/>
    </row>
    <row r="1619" spans="1:8" ht="24.75" customHeight="1">
      <c r="A1619" s="22"/>
      <c r="B1619" s="19"/>
      <c r="C1619" s="19"/>
      <c r="D1619" s="19"/>
      <c r="E1619" s="150"/>
      <c r="F1619" s="150"/>
      <c r="G1619" s="150"/>
      <c r="H1619" s="20"/>
    </row>
    <row r="1620" spans="1:8" ht="24.75" customHeight="1">
      <c r="A1620" s="22"/>
      <c r="B1620" s="19"/>
      <c r="C1620" s="19"/>
      <c r="D1620" s="19"/>
      <c r="E1620" s="150"/>
      <c r="F1620" s="150"/>
      <c r="G1620" s="150"/>
      <c r="H1620" s="20"/>
    </row>
    <row r="1621" spans="1:8" ht="24.75" customHeight="1">
      <c r="A1621" s="22"/>
      <c r="B1621" s="19"/>
      <c r="C1621" s="19"/>
      <c r="D1621" s="19"/>
      <c r="E1621" s="150"/>
      <c r="F1621" s="150"/>
      <c r="G1621" s="150"/>
      <c r="H1621" s="20"/>
    </row>
    <row r="1622" spans="1:8" ht="24.75" customHeight="1">
      <c r="A1622" s="22"/>
      <c r="B1622" s="19"/>
      <c r="C1622" s="19"/>
      <c r="D1622" s="19"/>
      <c r="E1622" s="150"/>
      <c r="F1622" s="150"/>
      <c r="G1622" s="150"/>
      <c r="H1622" s="20"/>
    </row>
    <row r="1623" spans="1:8" ht="24.75" customHeight="1">
      <c r="A1623" s="22"/>
      <c r="B1623" s="19"/>
      <c r="C1623" s="19"/>
      <c r="D1623" s="19"/>
      <c r="E1623" s="150"/>
      <c r="F1623" s="150"/>
      <c r="G1623" s="150"/>
      <c r="H1623" s="20"/>
    </row>
    <row r="1624" spans="1:8" ht="24.75" customHeight="1">
      <c r="A1624" s="22"/>
      <c r="B1624" s="19"/>
      <c r="C1624" s="19"/>
      <c r="D1624" s="19"/>
      <c r="E1624" s="150"/>
      <c r="F1624" s="150"/>
      <c r="G1624" s="150"/>
      <c r="H1624" s="20"/>
    </row>
    <row r="1625" spans="1:8" ht="24.75" customHeight="1">
      <c r="A1625" s="22"/>
      <c r="B1625" s="19"/>
      <c r="C1625" s="19"/>
      <c r="D1625" s="19"/>
      <c r="E1625" s="150"/>
      <c r="F1625" s="150"/>
      <c r="G1625" s="150"/>
      <c r="H1625" s="20"/>
    </row>
    <row r="1626" spans="1:8" ht="24.75" customHeight="1">
      <c r="A1626" s="22"/>
      <c r="B1626" s="19"/>
      <c r="C1626" s="19"/>
      <c r="D1626" s="19"/>
      <c r="E1626" s="150"/>
      <c r="F1626" s="150"/>
      <c r="G1626" s="150"/>
      <c r="H1626" s="20"/>
    </row>
    <row r="1627" spans="1:8" ht="24.75" customHeight="1">
      <c r="A1627" s="22"/>
      <c r="B1627" s="19"/>
      <c r="C1627" s="19"/>
      <c r="D1627" s="19"/>
      <c r="E1627" s="150"/>
      <c r="F1627" s="150"/>
      <c r="G1627" s="150"/>
      <c r="H1627" s="20"/>
    </row>
    <row r="1628" spans="1:8" ht="24.75" customHeight="1">
      <c r="A1628" s="22"/>
      <c r="B1628" s="19"/>
      <c r="C1628" s="19"/>
      <c r="D1628" s="19"/>
      <c r="E1628" s="150"/>
      <c r="F1628" s="150"/>
      <c r="G1628" s="150"/>
      <c r="H1628" s="20"/>
    </row>
    <row r="1629" spans="1:8" ht="24.75" customHeight="1">
      <c r="A1629" s="22"/>
      <c r="B1629" s="19"/>
      <c r="C1629" s="19"/>
      <c r="D1629" s="19"/>
      <c r="E1629" s="150"/>
      <c r="F1629" s="150"/>
      <c r="G1629" s="150"/>
      <c r="H1629" s="20"/>
    </row>
    <row r="1630" spans="1:8" ht="24.75" customHeight="1">
      <c r="A1630" s="22"/>
      <c r="B1630" s="19"/>
      <c r="C1630" s="19"/>
      <c r="D1630" s="19"/>
      <c r="E1630" s="150"/>
      <c r="F1630" s="150"/>
      <c r="G1630" s="150"/>
      <c r="H1630" s="20"/>
    </row>
    <row r="1631" spans="1:8" ht="24.75" customHeight="1">
      <c r="A1631" s="22"/>
      <c r="B1631" s="19"/>
      <c r="C1631" s="19"/>
      <c r="D1631" s="19"/>
      <c r="E1631" s="150"/>
      <c r="F1631" s="150"/>
      <c r="G1631" s="150"/>
      <c r="H1631" s="20"/>
    </row>
    <row r="1632" spans="1:8" ht="24.75" customHeight="1">
      <c r="A1632" s="22"/>
      <c r="B1632" s="19"/>
      <c r="C1632" s="19"/>
      <c r="D1632" s="19"/>
      <c r="E1632" s="150"/>
      <c r="F1632" s="150"/>
      <c r="G1632" s="150"/>
      <c r="H1632" s="20"/>
    </row>
    <row r="1633" spans="1:8" ht="24.75" customHeight="1">
      <c r="A1633" s="22"/>
      <c r="B1633" s="19"/>
      <c r="C1633" s="19"/>
      <c r="D1633" s="19"/>
      <c r="E1633" s="150"/>
      <c r="F1633" s="150"/>
      <c r="G1633" s="150"/>
      <c r="H1633" s="20"/>
    </row>
    <row r="1634" spans="1:8" ht="24.75" customHeight="1">
      <c r="A1634" s="22"/>
      <c r="B1634" s="19"/>
      <c r="C1634" s="19"/>
      <c r="D1634" s="19"/>
      <c r="E1634" s="150"/>
      <c r="F1634" s="150"/>
      <c r="G1634" s="150"/>
      <c r="H1634" s="20"/>
    </row>
    <row r="1635" spans="1:8" ht="24.75" customHeight="1">
      <c r="A1635" s="22"/>
      <c r="B1635" s="19"/>
      <c r="C1635" s="19"/>
      <c r="D1635" s="19"/>
      <c r="E1635" s="150"/>
      <c r="F1635" s="150"/>
      <c r="G1635" s="150"/>
      <c r="H1635" s="20"/>
    </row>
    <row r="1636" spans="1:8" ht="24.75" customHeight="1">
      <c r="A1636" s="22"/>
      <c r="B1636" s="19"/>
      <c r="C1636" s="19"/>
      <c r="D1636" s="19"/>
      <c r="E1636" s="150"/>
      <c r="F1636" s="150"/>
      <c r="G1636" s="150"/>
      <c r="H1636" s="20"/>
    </row>
    <row r="1637" spans="1:8" ht="24.75" customHeight="1">
      <c r="A1637" s="22"/>
      <c r="B1637" s="19"/>
      <c r="C1637" s="19"/>
      <c r="D1637" s="19"/>
      <c r="E1637" s="150"/>
      <c r="F1637" s="150"/>
      <c r="G1637" s="150"/>
      <c r="H1637" s="20"/>
    </row>
    <row r="1638" spans="1:8" ht="24.75" customHeight="1">
      <c r="A1638" s="22"/>
      <c r="B1638" s="19"/>
      <c r="C1638" s="19"/>
      <c r="D1638" s="19"/>
      <c r="E1638" s="150"/>
      <c r="F1638" s="150"/>
      <c r="G1638" s="150"/>
      <c r="H1638" s="20"/>
    </row>
    <row r="1639" spans="1:8" ht="24.75" customHeight="1">
      <c r="A1639" s="22"/>
      <c r="B1639" s="19"/>
      <c r="C1639" s="19"/>
      <c r="D1639" s="19"/>
      <c r="E1639" s="150"/>
      <c r="F1639" s="150"/>
      <c r="G1639" s="150"/>
      <c r="H1639" s="20"/>
    </row>
    <row r="1640" spans="1:8" ht="24.75" customHeight="1">
      <c r="A1640" s="22"/>
      <c r="B1640" s="19"/>
      <c r="C1640" s="19"/>
      <c r="D1640" s="19"/>
      <c r="E1640" s="150"/>
      <c r="F1640" s="150"/>
      <c r="G1640" s="150"/>
      <c r="H1640" s="20"/>
    </row>
    <row r="1641" spans="1:8" ht="24.75" customHeight="1">
      <c r="A1641" s="22"/>
      <c r="B1641" s="19"/>
      <c r="C1641" s="19"/>
      <c r="D1641" s="19"/>
      <c r="E1641" s="150"/>
      <c r="F1641" s="150"/>
      <c r="G1641" s="150"/>
      <c r="H1641" s="20"/>
    </row>
    <row r="1642" spans="1:8" ht="24.75" customHeight="1">
      <c r="A1642" s="22"/>
      <c r="B1642" s="19"/>
      <c r="C1642" s="19"/>
      <c r="D1642" s="19"/>
      <c r="E1642" s="150"/>
      <c r="F1642" s="150"/>
      <c r="G1642" s="150"/>
      <c r="H1642" s="20"/>
    </row>
    <row r="1643" spans="1:8" ht="24.75" customHeight="1">
      <c r="A1643" s="22"/>
      <c r="B1643" s="19"/>
      <c r="C1643" s="19"/>
      <c r="D1643" s="19"/>
      <c r="E1643" s="150"/>
      <c r="F1643" s="150"/>
      <c r="G1643" s="150"/>
      <c r="H1643" s="20"/>
    </row>
    <row r="1644" spans="1:8" ht="24.75" customHeight="1">
      <c r="A1644" s="22"/>
      <c r="B1644" s="19"/>
      <c r="C1644" s="19"/>
      <c r="D1644" s="19"/>
      <c r="E1644" s="150"/>
      <c r="F1644" s="150"/>
      <c r="G1644" s="150"/>
      <c r="H1644" s="20"/>
    </row>
    <row r="1645" spans="1:8" ht="24.75" customHeight="1">
      <c r="A1645" s="22"/>
      <c r="B1645" s="19"/>
      <c r="C1645" s="19"/>
      <c r="D1645" s="19"/>
      <c r="E1645" s="150"/>
      <c r="F1645" s="150"/>
      <c r="G1645" s="150"/>
      <c r="H1645" s="20"/>
    </row>
    <row r="1646" spans="1:8" ht="24.75" customHeight="1">
      <c r="A1646" s="22"/>
      <c r="B1646" s="19"/>
      <c r="C1646" s="19"/>
      <c r="D1646" s="19"/>
      <c r="E1646" s="150"/>
      <c r="F1646" s="150"/>
      <c r="G1646" s="150"/>
      <c r="H1646" s="20"/>
    </row>
    <row r="1647" spans="1:8" ht="24.75" customHeight="1">
      <c r="A1647" s="22"/>
      <c r="B1647" s="19"/>
      <c r="C1647" s="19"/>
      <c r="D1647" s="19"/>
      <c r="E1647" s="150"/>
      <c r="F1647" s="150"/>
      <c r="G1647" s="150"/>
      <c r="H1647" s="20"/>
    </row>
    <row r="1648" spans="1:8" ht="24.75" customHeight="1">
      <c r="A1648" s="22"/>
      <c r="B1648" s="19"/>
      <c r="C1648" s="19"/>
      <c r="D1648" s="19"/>
      <c r="E1648" s="150"/>
      <c r="F1648" s="150"/>
      <c r="G1648" s="150"/>
      <c r="H1648" s="20"/>
    </row>
    <row r="1649" spans="1:8" ht="24.75" customHeight="1">
      <c r="A1649" s="22"/>
      <c r="B1649" s="19"/>
      <c r="C1649" s="19"/>
      <c r="D1649" s="19"/>
      <c r="E1649" s="150"/>
      <c r="F1649" s="150"/>
      <c r="G1649" s="150"/>
      <c r="H1649" s="20"/>
    </row>
    <row r="1650" spans="1:8" ht="24.75" customHeight="1">
      <c r="A1650" s="22"/>
      <c r="B1650" s="19"/>
      <c r="C1650" s="19"/>
      <c r="D1650" s="19"/>
      <c r="E1650" s="150"/>
      <c r="F1650" s="150"/>
      <c r="G1650" s="150"/>
      <c r="H1650" s="20"/>
    </row>
    <row r="1651" spans="1:8" ht="24.75" customHeight="1">
      <c r="A1651" s="22"/>
      <c r="B1651" s="19"/>
      <c r="C1651" s="19"/>
      <c r="D1651" s="19"/>
      <c r="E1651" s="150"/>
      <c r="F1651" s="150"/>
      <c r="G1651" s="150"/>
      <c r="H1651" s="20"/>
    </row>
    <row r="1652" spans="1:8" ht="24.75" customHeight="1">
      <c r="A1652" s="22"/>
      <c r="B1652" s="19"/>
      <c r="C1652" s="19"/>
      <c r="D1652" s="19"/>
      <c r="E1652" s="150"/>
      <c r="F1652" s="150"/>
      <c r="G1652" s="150"/>
      <c r="H1652" s="20"/>
    </row>
    <row r="1653" spans="1:8" ht="24.75" customHeight="1">
      <c r="A1653" s="22"/>
      <c r="B1653" s="19"/>
      <c r="C1653" s="19"/>
      <c r="D1653" s="19"/>
      <c r="E1653" s="150"/>
      <c r="F1653" s="150"/>
      <c r="G1653" s="150"/>
      <c r="H1653" s="20"/>
    </row>
    <row r="1654" spans="1:8" ht="24.75" customHeight="1">
      <c r="A1654" s="22"/>
      <c r="B1654" s="19"/>
      <c r="C1654" s="19"/>
      <c r="D1654" s="19"/>
      <c r="E1654" s="150"/>
      <c r="F1654" s="150"/>
      <c r="G1654" s="150"/>
      <c r="H1654" s="20"/>
    </row>
    <row r="1655" spans="1:8" ht="24.75" customHeight="1">
      <c r="A1655" s="22"/>
      <c r="B1655" s="19"/>
      <c r="C1655" s="19"/>
      <c r="D1655" s="19"/>
      <c r="E1655" s="150"/>
      <c r="F1655" s="150"/>
      <c r="G1655" s="150"/>
      <c r="H1655" s="20"/>
    </row>
    <row r="1656" spans="1:8" ht="24.75" customHeight="1">
      <c r="A1656" s="22"/>
      <c r="B1656" s="19"/>
      <c r="C1656" s="19"/>
      <c r="D1656" s="19"/>
      <c r="E1656" s="150"/>
      <c r="F1656" s="150"/>
      <c r="G1656" s="150"/>
      <c r="H1656" s="20"/>
    </row>
    <row r="1657" spans="1:8" ht="24.75" customHeight="1">
      <c r="A1657" s="22"/>
      <c r="B1657" s="19"/>
      <c r="C1657" s="19"/>
      <c r="D1657" s="19"/>
      <c r="E1657" s="150"/>
      <c r="F1657" s="150"/>
      <c r="G1657" s="150"/>
      <c r="H1657" s="20"/>
    </row>
    <row r="1658" spans="1:8" ht="24.75" customHeight="1">
      <c r="A1658" s="22"/>
      <c r="B1658" s="19"/>
      <c r="C1658" s="19"/>
      <c r="D1658" s="19"/>
      <c r="E1658" s="150"/>
      <c r="F1658" s="150"/>
      <c r="G1658" s="150"/>
      <c r="H1658" s="20"/>
    </row>
    <row r="1659" spans="1:8" ht="24.75" customHeight="1">
      <c r="A1659" s="22"/>
      <c r="B1659" s="19"/>
      <c r="C1659" s="19"/>
      <c r="D1659" s="19"/>
      <c r="E1659" s="150"/>
      <c r="F1659" s="150"/>
      <c r="G1659" s="150"/>
      <c r="H1659" s="20"/>
    </row>
    <row r="1660" spans="1:8" ht="24.75" customHeight="1">
      <c r="A1660" s="22"/>
      <c r="B1660" s="19"/>
      <c r="C1660" s="19"/>
      <c r="D1660" s="19"/>
      <c r="E1660" s="150"/>
      <c r="F1660" s="150"/>
      <c r="G1660" s="150"/>
      <c r="H1660" s="20"/>
    </row>
    <row r="1661" spans="1:8" ht="24.75" customHeight="1">
      <c r="A1661" s="22"/>
      <c r="B1661" s="19"/>
      <c r="C1661" s="19"/>
      <c r="D1661" s="19"/>
      <c r="E1661" s="150"/>
      <c r="F1661" s="150"/>
      <c r="G1661" s="150"/>
      <c r="H1661" s="20"/>
    </row>
    <row r="1662" spans="1:8" ht="24.75" customHeight="1">
      <c r="A1662" s="22"/>
      <c r="B1662" s="19"/>
      <c r="C1662" s="19"/>
      <c r="D1662" s="19"/>
      <c r="E1662" s="150"/>
      <c r="F1662" s="150"/>
      <c r="G1662" s="150"/>
      <c r="H1662" s="20"/>
    </row>
    <row r="1663" spans="1:8" ht="24.75" customHeight="1">
      <c r="A1663" s="22"/>
      <c r="B1663" s="19"/>
      <c r="C1663" s="19"/>
      <c r="D1663" s="19"/>
      <c r="E1663" s="150"/>
      <c r="F1663" s="150"/>
      <c r="G1663" s="150"/>
      <c r="H1663" s="20"/>
    </row>
    <row r="1664" spans="1:8" ht="24.75" customHeight="1">
      <c r="A1664" s="22"/>
      <c r="B1664" s="19"/>
      <c r="C1664" s="19"/>
      <c r="D1664" s="19"/>
      <c r="E1664" s="150"/>
      <c r="F1664" s="150"/>
      <c r="G1664" s="150"/>
      <c r="H1664" s="20"/>
    </row>
    <row r="1665" spans="1:8" ht="24.75" customHeight="1">
      <c r="A1665" s="22"/>
      <c r="B1665" s="19"/>
      <c r="C1665" s="19"/>
      <c r="D1665" s="19"/>
      <c r="E1665" s="150"/>
      <c r="F1665" s="150"/>
      <c r="G1665" s="150"/>
      <c r="H1665" s="20"/>
    </row>
    <row r="1666" spans="1:8" ht="24.75" customHeight="1">
      <c r="A1666" s="22"/>
      <c r="B1666" s="19"/>
      <c r="C1666" s="19"/>
      <c r="D1666" s="19"/>
      <c r="E1666" s="150"/>
      <c r="F1666" s="150"/>
      <c r="G1666" s="150"/>
      <c r="H1666" s="20"/>
    </row>
    <row r="1667" spans="1:8" ht="24.75" customHeight="1">
      <c r="A1667" s="22"/>
      <c r="B1667" s="19"/>
      <c r="C1667" s="19"/>
      <c r="D1667" s="19"/>
      <c r="E1667" s="150"/>
      <c r="F1667" s="150"/>
      <c r="G1667" s="150"/>
      <c r="H1667" s="20"/>
    </row>
    <row r="1668" spans="1:8" ht="24.75" customHeight="1">
      <c r="A1668" s="22"/>
      <c r="B1668" s="19"/>
      <c r="C1668" s="19"/>
      <c r="D1668" s="19"/>
      <c r="E1668" s="150"/>
      <c r="F1668" s="150"/>
      <c r="G1668" s="150"/>
      <c r="H1668" s="20"/>
    </row>
    <row r="1669" spans="1:8" ht="24.75" customHeight="1">
      <c r="A1669" s="22"/>
      <c r="B1669" s="19"/>
      <c r="C1669" s="19"/>
      <c r="D1669" s="19"/>
      <c r="E1669" s="150"/>
      <c r="F1669" s="150"/>
      <c r="G1669" s="150"/>
      <c r="H1669" s="20"/>
    </row>
    <row r="1670" spans="1:8" ht="24.75" customHeight="1">
      <c r="A1670" s="22"/>
      <c r="B1670" s="19"/>
      <c r="C1670" s="19"/>
      <c r="D1670" s="19"/>
      <c r="E1670" s="150"/>
      <c r="F1670" s="150"/>
      <c r="G1670" s="150"/>
      <c r="H1670" s="20"/>
    </row>
    <row r="1671" spans="1:8" ht="24.75" customHeight="1">
      <c r="A1671" s="22"/>
      <c r="B1671" s="19"/>
      <c r="C1671" s="19"/>
      <c r="D1671" s="19"/>
      <c r="E1671" s="150"/>
      <c r="F1671" s="150"/>
      <c r="G1671" s="150"/>
      <c r="H1671" s="20"/>
    </row>
    <row r="1672" spans="1:8" ht="24.75" customHeight="1">
      <c r="A1672" s="22"/>
      <c r="B1672" s="19"/>
      <c r="C1672" s="19"/>
      <c r="D1672" s="19"/>
      <c r="E1672" s="150"/>
      <c r="F1672" s="150"/>
      <c r="G1672" s="150"/>
      <c r="H1672" s="20"/>
    </row>
    <row r="1673" spans="1:8" ht="24.75" customHeight="1">
      <c r="A1673" s="22"/>
      <c r="B1673" s="19"/>
      <c r="C1673" s="19"/>
      <c r="D1673" s="19"/>
      <c r="E1673" s="150"/>
      <c r="F1673" s="150"/>
      <c r="G1673" s="150"/>
      <c r="H1673" s="20"/>
    </row>
    <row r="1674" spans="1:8" ht="24.75" customHeight="1">
      <c r="A1674" s="22"/>
      <c r="B1674" s="19"/>
      <c r="C1674" s="19"/>
      <c r="D1674" s="19"/>
      <c r="E1674" s="150"/>
      <c r="F1674" s="150"/>
      <c r="G1674" s="150"/>
      <c r="H1674" s="20"/>
    </row>
    <row r="1675" spans="1:8" ht="24.75" customHeight="1">
      <c r="A1675" s="22"/>
      <c r="B1675" s="19"/>
      <c r="C1675" s="19"/>
      <c r="D1675" s="19"/>
      <c r="E1675" s="150"/>
      <c r="F1675" s="150"/>
      <c r="G1675" s="150"/>
      <c r="H1675" s="20"/>
    </row>
    <row r="1676" spans="1:8" ht="24.75" customHeight="1">
      <c r="A1676" s="22"/>
      <c r="B1676" s="19"/>
      <c r="C1676" s="19"/>
      <c r="D1676" s="19"/>
      <c r="E1676" s="150"/>
      <c r="F1676" s="150"/>
      <c r="G1676" s="150"/>
      <c r="H1676" s="20"/>
    </row>
    <row r="1677" spans="1:8" ht="24.75" customHeight="1">
      <c r="A1677" s="22"/>
      <c r="B1677" s="19"/>
      <c r="C1677" s="19"/>
      <c r="D1677" s="19"/>
      <c r="E1677" s="150"/>
      <c r="F1677" s="150"/>
      <c r="G1677" s="150"/>
      <c r="H1677" s="20"/>
    </row>
    <row r="1678" spans="1:8" ht="24.75" customHeight="1">
      <c r="A1678" s="22"/>
      <c r="B1678" s="19"/>
      <c r="C1678" s="19"/>
      <c r="D1678" s="19"/>
      <c r="E1678" s="150"/>
      <c r="F1678" s="150"/>
      <c r="G1678" s="150"/>
      <c r="H1678" s="20"/>
    </row>
    <row r="1679" spans="1:8" ht="24.75" customHeight="1">
      <c r="A1679" s="22"/>
      <c r="B1679" s="19"/>
      <c r="C1679" s="19"/>
      <c r="D1679" s="19"/>
      <c r="E1679" s="150"/>
      <c r="F1679" s="150"/>
      <c r="G1679" s="150"/>
      <c r="H1679" s="20"/>
    </row>
    <row r="1680" spans="1:8" ht="24.75" customHeight="1">
      <c r="A1680" s="22"/>
      <c r="B1680" s="19"/>
      <c r="C1680" s="19"/>
      <c r="D1680" s="19"/>
      <c r="E1680" s="150"/>
      <c r="F1680" s="150"/>
      <c r="G1680" s="150"/>
      <c r="H1680" s="20"/>
    </row>
    <row r="1681" spans="1:8" ht="24.75" customHeight="1">
      <c r="A1681" s="22"/>
      <c r="B1681" s="19"/>
      <c r="C1681" s="19"/>
      <c r="D1681" s="19"/>
      <c r="E1681" s="150"/>
      <c r="F1681" s="150"/>
      <c r="G1681" s="150"/>
      <c r="H1681" s="20"/>
    </row>
    <row r="1682" spans="1:8" ht="24.75" customHeight="1">
      <c r="A1682" s="22"/>
      <c r="B1682" s="19"/>
      <c r="C1682" s="19"/>
      <c r="D1682" s="19"/>
      <c r="E1682" s="150"/>
      <c r="F1682" s="150"/>
      <c r="G1682" s="150"/>
      <c r="H1682" s="20"/>
    </row>
    <row r="1683" spans="1:8" ht="24.75" customHeight="1">
      <c r="A1683" s="22"/>
      <c r="B1683" s="19"/>
      <c r="C1683" s="19"/>
      <c r="D1683" s="19"/>
      <c r="E1683" s="150"/>
      <c r="F1683" s="150"/>
      <c r="G1683" s="150"/>
      <c r="H1683" s="20"/>
    </row>
    <row r="1684" spans="1:8" ht="24.75" customHeight="1">
      <c r="A1684" s="22"/>
      <c r="B1684" s="19"/>
      <c r="C1684" s="19"/>
      <c r="D1684" s="19"/>
      <c r="E1684" s="150"/>
      <c r="F1684" s="150"/>
      <c r="G1684" s="150"/>
      <c r="H1684" s="20"/>
    </row>
    <row r="1685" spans="1:8" ht="24.75" customHeight="1">
      <c r="A1685" s="22"/>
      <c r="B1685" s="19"/>
      <c r="C1685" s="19"/>
      <c r="D1685" s="19"/>
      <c r="E1685" s="150"/>
      <c r="F1685" s="150"/>
      <c r="G1685" s="150"/>
      <c r="H1685" s="20"/>
    </row>
    <row r="1686" spans="1:8" ht="24.75" customHeight="1">
      <c r="A1686" s="22"/>
      <c r="B1686" s="19"/>
      <c r="C1686" s="19"/>
      <c r="D1686" s="19"/>
      <c r="E1686" s="150"/>
      <c r="F1686" s="150"/>
      <c r="G1686" s="150"/>
      <c r="H1686" s="20"/>
    </row>
    <row r="1687" spans="1:8" ht="24.75" customHeight="1">
      <c r="A1687" s="22"/>
      <c r="B1687" s="19"/>
      <c r="C1687" s="19"/>
      <c r="D1687" s="19"/>
      <c r="E1687" s="150"/>
      <c r="F1687" s="150"/>
      <c r="G1687" s="150"/>
      <c r="H1687" s="20"/>
    </row>
    <row r="1688" spans="1:8" ht="24.75" customHeight="1">
      <c r="A1688" s="22"/>
      <c r="B1688" s="19"/>
      <c r="C1688" s="19"/>
      <c r="D1688" s="19"/>
      <c r="E1688" s="150"/>
      <c r="F1688" s="150"/>
      <c r="G1688" s="150"/>
      <c r="H1688" s="20"/>
    </row>
    <row r="1689" spans="1:8" ht="24.75" customHeight="1">
      <c r="A1689" s="22"/>
      <c r="B1689" s="19"/>
      <c r="C1689" s="19"/>
      <c r="D1689" s="19"/>
      <c r="E1689" s="150"/>
      <c r="F1689" s="150"/>
      <c r="G1689" s="150"/>
      <c r="H1689" s="20"/>
    </row>
    <row r="1690" spans="1:8" ht="24.75" customHeight="1">
      <c r="A1690" s="22"/>
      <c r="B1690" s="19"/>
      <c r="C1690" s="19"/>
      <c r="D1690" s="19"/>
      <c r="E1690" s="150"/>
      <c r="F1690" s="150"/>
      <c r="G1690" s="150"/>
      <c r="H1690" s="20"/>
    </row>
    <row r="1691" spans="1:8" ht="24.75" customHeight="1">
      <c r="A1691" s="22"/>
      <c r="B1691" s="19"/>
      <c r="C1691" s="19"/>
      <c r="D1691" s="19"/>
      <c r="E1691" s="150"/>
      <c r="F1691" s="150"/>
      <c r="G1691" s="150"/>
      <c r="H1691" s="20"/>
    </row>
    <row r="1692" spans="1:8" ht="24.75" customHeight="1">
      <c r="A1692" s="22"/>
      <c r="B1692" s="19"/>
      <c r="C1692" s="19"/>
      <c r="D1692" s="19"/>
      <c r="E1692" s="150"/>
      <c r="F1692" s="150"/>
      <c r="G1692" s="150"/>
      <c r="H1692" s="20"/>
    </row>
    <row r="1693" spans="1:8" ht="24.75" customHeight="1">
      <c r="A1693" s="22"/>
      <c r="B1693" s="19"/>
      <c r="C1693" s="19"/>
      <c r="D1693" s="19"/>
      <c r="E1693" s="150"/>
      <c r="F1693" s="150"/>
      <c r="G1693" s="150"/>
      <c r="H1693" s="20"/>
    </row>
    <row r="1694" spans="1:8" ht="24.75" customHeight="1">
      <c r="A1694" s="22"/>
      <c r="B1694" s="19"/>
      <c r="C1694" s="19"/>
      <c r="D1694" s="19"/>
      <c r="E1694" s="150"/>
      <c r="F1694" s="150"/>
      <c r="G1694" s="150"/>
      <c r="H1694" s="20"/>
    </row>
    <row r="1695" spans="1:8" ht="24.75" customHeight="1">
      <c r="A1695" s="22"/>
      <c r="B1695" s="19"/>
      <c r="C1695" s="19"/>
      <c r="D1695" s="19"/>
      <c r="E1695" s="150"/>
      <c r="F1695" s="150"/>
      <c r="G1695" s="150"/>
      <c r="H1695" s="20"/>
    </row>
    <row r="1696" spans="1:8" ht="24.75" customHeight="1">
      <c r="A1696" s="22"/>
      <c r="B1696" s="19"/>
      <c r="C1696" s="19"/>
      <c r="D1696" s="19"/>
      <c r="E1696" s="150"/>
      <c r="F1696" s="150"/>
      <c r="G1696" s="150"/>
      <c r="H1696" s="20"/>
    </row>
    <row r="1697" spans="1:8" ht="24.75" customHeight="1">
      <c r="A1697" s="22"/>
      <c r="B1697" s="19"/>
      <c r="C1697" s="19"/>
      <c r="D1697" s="19"/>
      <c r="E1697" s="150"/>
      <c r="F1697" s="150"/>
      <c r="G1697" s="150"/>
      <c r="H1697" s="20"/>
    </row>
    <row r="1698" spans="1:8" ht="24.75" customHeight="1">
      <c r="A1698" s="22"/>
      <c r="B1698" s="19"/>
      <c r="C1698" s="19"/>
      <c r="D1698" s="19"/>
      <c r="E1698" s="150"/>
      <c r="F1698" s="150"/>
      <c r="G1698" s="150"/>
      <c r="H1698" s="20"/>
    </row>
    <row r="1699" spans="1:8" ht="24.75" customHeight="1">
      <c r="A1699" s="22"/>
      <c r="B1699" s="19"/>
      <c r="C1699" s="19"/>
      <c r="D1699" s="19"/>
      <c r="E1699" s="150"/>
      <c r="F1699" s="150"/>
      <c r="G1699" s="150"/>
      <c r="H1699" s="20"/>
    </row>
    <row r="1700" spans="1:8" ht="24.75" customHeight="1">
      <c r="A1700" s="22"/>
      <c r="B1700" s="19"/>
      <c r="C1700" s="19"/>
      <c r="D1700" s="19"/>
      <c r="E1700" s="150"/>
      <c r="F1700" s="150"/>
      <c r="G1700" s="150"/>
      <c r="H1700" s="20"/>
    </row>
    <row r="1701" spans="1:8" ht="24.75" customHeight="1">
      <c r="A1701" s="22"/>
      <c r="B1701" s="19"/>
      <c r="C1701" s="19"/>
      <c r="D1701" s="19"/>
      <c r="E1701" s="150"/>
      <c r="F1701" s="150"/>
      <c r="G1701" s="150"/>
      <c r="H1701" s="20"/>
    </row>
    <row r="1702" spans="1:8" ht="24.75" customHeight="1">
      <c r="A1702" s="22"/>
      <c r="B1702" s="19"/>
      <c r="C1702" s="19"/>
      <c r="D1702" s="19"/>
      <c r="E1702" s="150"/>
      <c r="F1702" s="150"/>
      <c r="G1702" s="150"/>
      <c r="H1702" s="20"/>
    </row>
    <row r="1703" spans="1:8" ht="24.75" customHeight="1">
      <c r="A1703" s="22"/>
      <c r="B1703" s="19"/>
      <c r="C1703" s="19"/>
      <c r="D1703" s="19"/>
      <c r="E1703" s="150"/>
      <c r="F1703" s="150"/>
      <c r="G1703" s="150"/>
      <c r="H1703" s="20"/>
    </row>
    <row r="1704" spans="1:8" ht="24.75" customHeight="1">
      <c r="A1704" s="22"/>
      <c r="B1704" s="19"/>
      <c r="C1704" s="19"/>
      <c r="D1704" s="19"/>
      <c r="E1704" s="150"/>
      <c r="F1704" s="150"/>
      <c r="G1704" s="150"/>
      <c r="H1704" s="20"/>
    </row>
    <row r="1705" spans="1:8" ht="24.75" customHeight="1">
      <c r="A1705" s="22"/>
      <c r="B1705" s="19"/>
      <c r="C1705" s="19"/>
      <c r="D1705" s="19"/>
      <c r="E1705" s="150"/>
      <c r="F1705" s="150"/>
      <c r="G1705" s="150"/>
      <c r="H1705" s="20"/>
    </row>
    <row r="1706" spans="1:8" ht="24.75" customHeight="1">
      <c r="A1706" s="22"/>
      <c r="B1706" s="19"/>
      <c r="C1706" s="19"/>
      <c r="D1706" s="19"/>
      <c r="E1706" s="150"/>
      <c r="F1706" s="150"/>
      <c r="G1706" s="150"/>
      <c r="H1706" s="20"/>
    </row>
    <row r="1707" spans="1:8" ht="24.75" customHeight="1">
      <c r="A1707" s="22"/>
      <c r="B1707" s="19"/>
      <c r="C1707" s="19"/>
      <c r="D1707" s="19"/>
      <c r="E1707" s="150"/>
      <c r="F1707" s="150"/>
      <c r="G1707" s="150"/>
      <c r="H1707" s="20"/>
    </row>
    <row r="1708" spans="1:8" ht="24.75" customHeight="1">
      <c r="A1708" s="22"/>
      <c r="B1708" s="19"/>
      <c r="C1708" s="19"/>
      <c r="D1708" s="19"/>
      <c r="E1708" s="150"/>
      <c r="F1708" s="150"/>
      <c r="G1708" s="150"/>
      <c r="H1708" s="20"/>
    </row>
    <row r="1709" spans="1:8" ht="24.75" customHeight="1">
      <c r="A1709" s="22"/>
      <c r="B1709" s="19"/>
      <c r="C1709" s="19"/>
      <c r="D1709" s="19"/>
      <c r="E1709" s="150"/>
      <c r="F1709" s="150"/>
      <c r="G1709" s="150"/>
      <c r="H1709" s="20"/>
    </row>
    <row r="1710" spans="1:8" ht="24.75" customHeight="1">
      <c r="A1710" s="22"/>
      <c r="B1710" s="19"/>
      <c r="C1710" s="19"/>
      <c r="D1710" s="19"/>
      <c r="E1710" s="150"/>
      <c r="F1710" s="150"/>
      <c r="G1710" s="150"/>
      <c r="H1710" s="20"/>
    </row>
    <row r="1711" spans="1:8" ht="24.75" customHeight="1">
      <c r="A1711" s="22"/>
      <c r="B1711" s="19"/>
      <c r="C1711" s="19"/>
      <c r="D1711" s="19"/>
      <c r="E1711" s="150"/>
      <c r="F1711" s="150"/>
      <c r="G1711" s="150"/>
      <c r="H1711" s="20"/>
    </row>
    <row r="1712" spans="1:8" ht="24.75" customHeight="1">
      <c r="A1712" s="22"/>
      <c r="B1712" s="19"/>
      <c r="C1712" s="19"/>
      <c r="D1712" s="19"/>
      <c r="E1712" s="150"/>
      <c r="F1712" s="150"/>
      <c r="G1712" s="150"/>
      <c r="H1712" s="20"/>
    </row>
    <row r="1713" spans="1:8" ht="24.75" customHeight="1">
      <c r="A1713" s="22"/>
      <c r="B1713" s="19"/>
      <c r="C1713" s="19"/>
      <c r="D1713" s="19"/>
      <c r="E1713" s="150"/>
      <c r="F1713" s="150"/>
      <c r="G1713" s="150"/>
      <c r="H1713" s="20"/>
    </row>
    <row r="1714" spans="1:8" ht="24.75" customHeight="1">
      <c r="A1714" s="22"/>
      <c r="B1714" s="19"/>
      <c r="C1714" s="19"/>
      <c r="D1714" s="19"/>
      <c r="E1714" s="150"/>
      <c r="F1714" s="150"/>
      <c r="G1714" s="150"/>
      <c r="H1714" s="20"/>
    </row>
    <row r="1715" spans="1:8" ht="24.75" customHeight="1">
      <c r="A1715" s="22"/>
      <c r="B1715" s="19"/>
      <c r="C1715" s="19"/>
      <c r="D1715" s="19"/>
      <c r="E1715" s="150"/>
      <c r="F1715" s="150"/>
      <c r="G1715" s="150"/>
      <c r="H1715" s="20"/>
    </row>
    <row r="1716" spans="1:8" ht="24.75" customHeight="1">
      <c r="A1716" s="22"/>
      <c r="B1716" s="19"/>
      <c r="C1716" s="19"/>
      <c r="D1716" s="19"/>
      <c r="E1716" s="150"/>
      <c r="F1716" s="150"/>
      <c r="G1716" s="150"/>
      <c r="H1716" s="20"/>
    </row>
    <row r="1717" spans="1:8" ht="24.75" customHeight="1">
      <c r="A1717" s="22"/>
      <c r="B1717" s="19"/>
      <c r="C1717" s="19"/>
      <c r="D1717" s="19"/>
      <c r="E1717" s="150"/>
      <c r="F1717" s="150"/>
      <c r="G1717" s="150"/>
      <c r="H1717" s="20"/>
    </row>
    <row r="1718" spans="1:8" ht="24.75" customHeight="1">
      <c r="A1718" s="22"/>
      <c r="B1718" s="19"/>
      <c r="C1718" s="19"/>
      <c r="D1718" s="19"/>
      <c r="E1718" s="150"/>
      <c r="F1718" s="150"/>
      <c r="G1718" s="150"/>
      <c r="H1718" s="20"/>
    </row>
    <row r="1719" spans="1:8" ht="24.75" customHeight="1">
      <c r="A1719" s="22"/>
      <c r="B1719" s="19"/>
      <c r="C1719" s="19"/>
      <c r="D1719" s="19"/>
      <c r="E1719" s="150"/>
      <c r="F1719" s="150"/>
      <c r="G1719" s="150"/>
      <c r="H1719" s="20"/>
    </row>
    <row r="1720" spans="1:8" ht="24.75" customHeight="1">
      <c r="A1720" s="22"/>
      <c r="B1720" s="19"/>
      <c r="C1720" s="19"/>
      <c r="D1720" s="19"/>
      <c r="E1720" s="150"/>
      <c r="F1720" s="150"/>
      <c r="G1720" s="150"/>
      <c r="H1720" s="20"/>
    </row>
    <row r="1721" spans="1:8" ht="24.75" customHeight="1">
      <c r="A1721" s="22"/>
      <c r="B1721" s="19"/>
      <c r="C1721" s="19"/>
      <c r="D1721" s="19"/>
      <c r="E1721" s="150"/>
      <c r="F1721" s="150"/>
      <c r="G1721" s="150"/>
      <c r="H1721" s="20"/>
    </row>
    <row r="1722" spans="1:8" ht="24.75" customHeight="1">
      <c r="A1722" s="22"/>
      <c r="B1722" s="19"/>
      <c r="C1722" s="19"/>
      <c r="D1722" s="19"/>
      <c r="E1722" s="150"/>
      <c r="F1722" s="150"/>
      <c r="G1722" s="150"/>
      <c r="H1722" s="20"/>
    </row>
    <row r="1723" spans="1:8" ht="24.75" customHeight="1">
      <c r="A1723" s="22"/>
      <c r="B1723" s="19"/>
      <c r="C1723" s="19"/>
      <c r="D1723" s="19"/>
      <c r="E1723" s="150"/>
      <c r="F1723" s="150"/>
      <c r="G1723" s="150"/>
      <c r="H1723" s="20"/>
    </row>
    <row r="1724" spans="1:8" ht="24.75" customHeight="1">
      <c r="A1724" s="22"/>
      <c r="B1724" s="19"/>
      <c r="C1724" s="19"/>
      <c r="D1724" s="19"/>
      <c r="E1724" s="150"/>
      <c r="F1724" s="150"/>
      <c r="G1724" s="150"/>
      <c r="H1724" s="20"/>
    </row>
    <row r="1725" spans="1:8" ht="24.75" customHeight="1">
      <c r="A1725" s="22"/>
      <c r="B1725" s="19"/>
      <c r="C1725" s="19"/>
      <c r="D1725" s="19"/>
      <c r="E1725" s="150"/>
      <c r="F1725" s="150"/>
      <c r="G1725" s="150"/>
      <c r="H1725" s="20"/>
    </row>
    <row r="1726" spans="1:8" ht="24.75" customHeight="1">
      <c r="A1726" s="22"/>
      <c r="B1726" s="19"/>
      <c r="C1726" s="19"/>
      <c r="D1726" s="19"/>
      <c r="E1726" s="150"/>
      <c r="F1726" s="150"/>
      <c r="G1726" s="150"/>
      <c r="H1726" s="20"/>
    </row>
    <row r="1727" spans="1:8" ht="24.75" customHeight="1">
      <c r="A1727" s="22"/>
      <c r="B1727" s="19"/>
      <c r="C1727" s="19"/>
      <c r="D1727" s="19"/>
      <c r="E1727" s="150"/>
      <c r="F1727" s="150"/>
      <c r="G1727" s="150"/>
      <c r="H1727" s="20"/>
    </row>
    <row r="1728" spans="1:8" ht="24.75" customHeight="1">
      <c r="A1728" s="22"/>
      <c r="B1728" s="19"/>
      <c r="C1728" s="19"/>
      <c r="D1728" s="19"/>
      <c r="E1728" s="150"/>
      <c r="F1728" s="150"/>
      <c r="G1728" s="150"/>
      <c r="H1728" s="20"/>
    </row>
    <row r="1729" spans="1:8" ht="24.75" customHeight="1">
      <c r="A1729" s="22"/>
      <c r="B1729" s="19"/>
      <c r="C1729" s="19"/>
      <c r="D1729" s="19"/>
      <c r="E1729" s="150"/>
      <c r="F1729" s="150"/>
      <c r="G1729" s="150"/>
      <c r="H1729" s="20"/>
    </row>
    <row r="1730" spans="1:8" ht="24.75" customHeight="1">
      <c r="A1730" s="22"/>
      <c r="B1730" s="19"/>
      <c r="C1730" s="19"/>
      <c r="D1730" s="19"/>
      <c r="E1730" s="150"/>
      <c r="F1730" s="150"/>
      <c r="G1730" s="150"/>
      <c r="H1730" s="20"/>
    </row>
    <row r="1731" spans="1:8" ht="24.75" customHeight="1">
      <c r="A1731" s="22"/>
      <c r="B1731" s="19"/>
      <c r="C1731" s="19"/>
      <c r="D1731" s="19"/>
      <c r="E1731" s="150"/>
      <c r="F1731" s="150"/>
      <c r="G1731" s="150"/>
      <c r="H1731" s="20"/>
    </row>
    <row r="1732" spans="1:8" ht="24.75" customHeight="1">
      <c r="A1732" s="22"/>
      <c r="B1732" s="19"/>
      <c r="C1732" s="19"/>
      <c r="D1732" s="19"/>
      <c r="E1732" s="150"/>
      <c r="F1732" s="150"/>
      <c r="G1732" s="150"/>
      <c r="H1732" s="20"/>
    </row>
    <row r="1733" spans="1:8" ht="24.75" customHeight="1">
      <c r="A1733" s="22"/>
      <c r="B1733" s="19"/>
      <c r="C1733" s="19"/>
      <c r="D1733" s="19"/>
      <c r="E1733" s="150"/>
      <c r="F1733" s="150"/>
      <c r="G1733" s="150"/>
      <c r="H1733" s="20"/>
    </row>
    <row r="1734" spans="1:8" ht="24.75" customHeight="1">
      <c r="A1734" s="22"/>
      <c r="B1734" s="19"/>
      <c r="C1734" s="19"/>
      <c r="D1734" s="19"/>
      <c r="E1734" s="150"/>
      <c r="F1734" s="150"/>
      <c r="G1734" s="150"/>
      <c r="H1734" s="20"/>
    </row>
    <row r="1735" spans="1:8" ht="24.75" customHeight="1">
      <c r="A1735" s="22"/>
      <c r="B1735" s="19"/>
      <c r="C1735" s="19"/>
      <c r="D1735" s="19"/>
      <c r="E1735" s="150"/>
      <c r="F1735" s="150"/>
      <c r="G1735" s="150"/>
      <c r="H1735" s="20"/>
    </row>
    <row r="1736" spans="1:8" ht="24.75" customHeight="1">
      <c r="A1736" s="22"/>
      <c r="B1736" s="19"/>
      <c r="C1736" s="19"/>
      <c r="D1736" s="19"/>
      <c r="E1736" s="150"/>
      <c r="F1736" s="150"/>
      <c r="G1736" s="150"/>
      <c r="H1736" s="20"/>
    </row>
    <row r="1737" spans="1:8" ht="24.75" customHeight="1">
      <c r="A1737" s="22"/>
      <c r="B1737" s="19"/>
      <c r="C1737" s="19"/>
      <c r="D1737" s="19"/>
      <c r="E1737" s="150"/>
      <c r="F1737" s="150"/>
      <c r="G1737" s="150"/>
      <c r="H1737" s="20"/>
    </row>
    <row r="1738" spans="1:8" ht="24.75" customHeight="1">
      <c r="A1738" s="22"/>
      <c r="B1738" s="19"/>
      <c r="C1738" s="19"/>
      <c r="D1738" s="19"/>
      <c r="E1738" s="150"/>
      <c r="F1738" s="150"/>
      <c r="G1738" s="150"/>
      <c r="H1738" s="20"/>
    </row>
    <row r="1739" spans="1:8" ht="24.75" customHeight="1">
      <c r="A1739" s="22"/>
      <c r="B1739" s="19"/>
      <c r="C1739" s="19"/>
      <c r="D1739" s="19"/>
      <c r="E1739" s="150"/>
      <c r="F1739" s="150"/>
      <c r="G1739" s="150"/>
      <c r="H1739" s="20"/>
    </row>
    <row r="1740" spans="1:8" ht="24.75" customHeight="1">
      <c r="A1740" s="22"/>
      <c r="B1740" s="19"/>
      <c r="C1740" s="19"/>
      <c r="D1740" s="19"/>
      <c r="E1740" s="150"/>
      <c r="F1740" s="150"/>
      <c r="G1740" s="150"/>
      <c r="H1740" s="20"/>
    </row>
    <row r="1741" spans="1:8" ht="24.75" customHeight="1">
      <c r="A1741" s="22"/>
      <c r="B1741" s="19"/>
      <c r="C1741" s="19"/>
      <c r="D1741" s="19"/>
      <c r="E1741" s="150"/>
      <c r="F1741" s="150"/>
      <c r="G1741" s="150"/>
      <c r="H1741" s="20"/>
    </row>
    <row r="1742" spans="2:7" ht="24.75" customHeight="1">
      <c r="B1742" s="148" t="e">
        <f>B1563+#REF!+#REF!+B1315+B1226+#REF!+#REF!+#REF!+B1098+B1090+B1057+#REF!+#REF!+#REF!+#REF!+#REF!+B700+#REF!+#REF!+B584+B545+B511+#REF!+#REF!+B143+B66</f>
        <v>#REF!</v>
      </c>
      <c r="E1742" s="148"/>
      <c r="F1742" s="148"/>
      <c r="G1742" s="148"/>
    </row>
    <row r="1743" spans="2:10" ht="24.75" customHeight="1">
      <c r="B1743" s="148" t="e">
        <f>#REF!+#REF!+#REF!+#REF!+#REF!+B308+B117+B23</f>
        <v>#REF!</v>
      </c>
      <c r="E1743" s="148">
        <f>E611/2</f>
        <v>1.65</v>
      </c>
      <c r="F1743" s="148">
        <f>F611/2</f>
        <v>0.3</v>
      </c>
      <c r="G1743" s="148">
        <f>G611/2</f>
        <v>8.35</v>
      </c>
      <c r="H1743" s="261">
        <f>H611/2</f>
        <v>42.699999999999996</v>
      </c>
      <c r="I1743" s="323"/>
      <c r="J1743" s="361"/>
    </row>
    <row r="1744" spans="5:10" ht="24.75" customHeight="1">
      <c r="E1744" s="148"/>
      <c r="F1744" s="148"/>
      <c r="G1744" s="148"/>
      <c r="H1744" s="261"/>
      <c r="I1744" s="323"/>
      <c r="J1744" s="361"/>
    </row>
    <row r="1745" spans="3:7" ht="24.75" customHeight="1">
      <c r="C1745" s="261"/>
      <c r="E1745" s="148"/>
      <c r="F1745" s="148"/>
      <c r="G1745" s="148"/>
    </row>
    <row r="1747" spans="8:10" ht="24.75" customHeight="1">
      <c r="H1747" s="261"/>
      <c r="I1747" s="323"/>
      <c r="J1747" s="361"/>
    </row>
    <row r="1748" spans="1:10" ht="24.75" customHeight="1">
      <c r="A1748" s="325"/>
      <c r="B1748" s="326"/>
      <c r="C1748" s="326"/>
      <c r="D1748" s="326"/>
      <c r="E1748" s="327"/>
      <c r="F1748" s="327"/>
      <c r="G1748" s="327"/>
      <c r="H1748" s="327"/>
      <c r="I1748" s="327"/>
      <c r="J1748" s="327"/>
    </row>
    <row r="1749" spans="1:10" ht="24.75" customHeight="1">
      <c r="A1749" s="325"/>
      <c r="B1749" s="326"/>
      <c r="C1749" s="326"/>
      <c r="D1749" s="326"/>
      <c r="E1749" s="330"/>
      <c r="F1749" s="330"/>
      <c r="G1749" s="330"/>
      <c r="H1749" s="327"/>
      <c r="I1749" s="330"/>
      <c r="J1749" s="330"/>
    </row>
    <row r="1750" spans="1:9" ht="24.75" customHeight="1">
      <c r="A1750" s="325"/>
      <c r="B1750" s="326"/>
      <c r="C1750" s="326"/>
      <c r="D1750" s="326"/>
      <c r="E1750" s="327"/>
      <c r="F1750" s="327"/>
      <c r="G1750" s="327"/>
      <c r="H1750" s="328"/>
      <c r="I1750" s="329"/>
    </row>
    <row r="1751" spans="1:9" ht="24.75" customHeight="1">
      <c r="A1751" s="325"/>
      <c r="B1751" s="326"/>
      <c r="C1751" s="326"/>
      <c r="D1751" s="326"/>
      <c r="E1751" s="327"/>
      <c r="F1751" s="327"/>
      <c r="G1751" s="327"/>
      <c r="H1751" s="328"/>
      <c r="I1751" s="329"/>
    </row>
    <row r="1753" spans="5:10" ht="24.75" customHeight="1">
      <c r="E1753" s="17"/>
      <c r="F1753" s="17"/>
      <c r="G1753" s="148"/>
      <c r="H1753" s="17"/>
      <c r="I1753" s="17"/>
      <c r="J1753" s="17"/>
    </row>
  </sheetData>
  <sheetProtection/>
  <autoFilter ref="A1:A1751"/>
  <mergeCells count="564">
    <mergeCell ref="A1154:C1154"/>
    <mergeCell ref="A317:C317"/>
    <mergeCell ref="A1618:J1618"/>
    <mergeCell ref="A867:C867"/>
    <mergeCell ref="A1063:C1063"/>
    <mergeCell ref="A1295:C1295"/>
    <mergeCell ref="A1021:C1021"/>
    <mergeCell ref="A1017:C1017"/>
    <mergeCell ref="A1018:D1018"/>
    <mergeCell ref="A980:C980"/>
    <mergeCell ref="A1525:C1525"/>
    <mergeCell ref="A382:C382"/>
    <mergeCell ref="A409:C409"/>
    <mergeCell ref="A375:C375"/>
    <mergeCell ref="A367:C367"/>
    <mergeCell ref="A392:D392"/>
    <mergeCell ref="A386:D386"/>
    <mergeCell ref="O43:Q43"/>
    <mergeCell ref="A147:C147"/>
    <mergeCell ref="A167:J167"/>
    <mergeCell ref="A169:D169"/>
    <mergeCell ref="A241:C241"/>
    <mergeCell ref="A379:C379"/>
    <mergeCell ref="A384:J384"/>
    <mergeCell ref="A291:D291"/>
    <mergeCell ref="A361:D361"/>
    <mergeCell ref="A561:C561"/>
    <mergeCell ref="A720:D720"/>
    <mergeCell ref="A719:C719"/>
    <mergeCell ref="A570:B570"/>
    <mergeCell ref="A597:C597"/>
    <mergeCell ref="C570:D570"/>
    <mergeCell ref="A629:D629"/>
    <mergeCell ref="A610:C610"/>
    <mergeCell ref="A1256:C1256"/>
    <mergeCell ref="A1482:C1482"/>
    <mergeCell ref="A1218:C1218"/>
    <mergeCell ref="A1163:J1163"/>
    <mergeCell ref="A1205:C1205"/>
    <mergeCell ref="A1166:D1166"/>
    <mergeCell ref="A1178:C1178"/>
    <mergeCell ref="A1370:C1370"/>
    <mergeCell ref="A1404:C1404"/>
    <mergeCell ref="C1366:C1368"/>
    <mergeCell ref="A1158:C1158"/>
    <mergeCell ref="A1139:J1139"/>
    <mergeCell ref="E962:E963"/>
    <mergeCell ref="A919:C919"/>
    <mergeCell ref="H962:H963"/>
    <mergeCell ref="A1134:J1134"/>
    <mergeCell ref="A1132:C1132"/>
    <mergeCell ref="A1135:C1135"/>
    <mergeCell ref="A978:C978"/>
    <mergeCell ref="A1059:C1059"/>
    <mergeCell ref="A1036:C1036"/>
    <mergeCell ref="A982:C982"/>
    <mergeCell ref="A1138:D1138"/>
    <mergeCell ref="A1043:J1043"/>
    <mergeCell ref="A1000:C1000"/>
    <mergeCell ref="A1020:C1020"/>
    <mergeCell ref="A1007:C1007"/>
    <mergeCell ref="A1012:C1012"/>
    <mergeCell ref="A1133:C1133"/>
    <mergeCell ref="A986:C986"/>
    <mergeCell ref="I962:I963"/>
    <mergeCell ref="J961:J963"/>
    <mergeCell ref="F853:F854"/>
    <mergeCell ref="J852:J854"/>
    <mergeCell ref="A822:C822"/>
    <mergeCell ref="A846:C846"/>
    <mergeCell ref="A921:C921"/>
    <mergeCell ref="A916:C916"/>
    <mergeCell ref="A826:C826"/>
    <mergeCell ref="A920:D920"/>
    <mergeCell ref="D962:D963"/>
    <mergeCell ref="B961:B963"/>
    <mergeCell ref="A830:C830"/>
    <mergeCell ref="A855:D855"/>
    <mergeCell ref="A851:J851"/>
    <mergeCell ref="A872:C872"/>
    <mergeCell ref="A845:C845"/>
    <mergeCell ref="A956:J956"/>
    <mergeCell ref="A744:C744"/>
    <mergeCell ref="A612:D612"/>
    <mergeCell ref="A676:C676"/>
    <mergeCell ref="A682:D682"/>
    <mergeCell ref="A654:C654"/>
    <mergeCell ref="D661:I661"/>
    <mergeCell ref="A656:J656"/>
    <mergeCell ref="A658:D658"/>
    <mergeCell ref="A677:C677"/>
    <mergeCell ref="A626:C626"/>
    <mergeCell ref="A824:C824"/>
    <mergeCell ref="A1112:D1112"/>
    <mergeCell ref="A1042:D1042"/>
    <mergeCell ref="A1039:C1039"/>
    <mergeCell ref="A1026:C1026"/>
    <mergeCell ref="A1070:C1070"/>
    <mergeCell ref="A1103:C1103"/>
    <mergeCell ref="A1069:D1069"/>
    <mergeCell ref="A1068:C1068"/>
    <mergeCell ref="A1077:C1077"/>
    <mergeCell ref="A842:C842"/>
    <mergeCell ref="A917:D917"/>
    <mergeCell ref="A849:D849"/>
    <mergeCell ref="A931:C931"/>
    <mergeCell ref="A915:C915"/>
    <mergeCell ref="A873:D873"/>
    <mergeCell ref="A912:C912"/>
    <mergeCell ref="A863:C863"/>
    <mergeCell ref="A388:J388"/>
    <mergeCell ref="A459:D459"/>
    <mergeCell ref="F390:F391"/>
    <mergeCell ref="C389:C391"/>
    <mergeCell ref="G390:G391"/>
    <mergeCell ref="A393:C393"/>
    <mergeCell ref="A405:C405"/>
    <mergeCell ref="A418:C418"/>
    <mergeCell ref="A411:C411"/>
    <mergeCell ref="A433:C433"/>
    <mergeCell ref="A461:C461"/>
    <mergeCell ref="A402:C402"/>
    <mergeCell ref="A410:J410"/>
    <mergeCell ref="A447:C447"/>
    <mergeCell ref="A458:C458"/>
    <mergeCell ref="A513:C513"/>
    <mergeCell ref="A389:A391"/>
    <mergeCell ref="B389:B391"/>
    <mergeCell ref="A492:C492"/>
    <mergeCell ref="A502:C502"/>
    <mergeCell ref="A491:J491"/>
    <mergeCell ref="A462:D462"/>
    <mergeCell ref="A412:D412"/>
    <mergeCell ref="A460:C460"/>
    <mergeCell ref="A463:C463"/>
    <mergeCell ref="A237:C237"/>
    <mergeCell ref="A224:C224"/>
    <mergeCell ref="A258:C258"/>
    <mergeCell ref="A234:C234"/>
    <mergeCell ref="A242:D242"/>
    <mergeCell ref="A1144:D1144"/>
    <mergeCell ref="B1141:B1143"/>
    <mergeCell ref="C1141:C1143"/>
    <mergeCell ref="A1111:C1111"/>
    <mergeCell ref="A1128:C1128"/>
    <mergeCell ref="A1118:C1118"/>
    <mergeCell ref="D1141:I1141"/>
    <mergeCell ref="A1049:C1049"/>
    <mergeCell ref="A1140:J1140"/>
    <mergeCell ref="C130:C132"/>
    <mergeCell ref="D130:I130"/>
    <mergeCell ref="A168:C168"/>
    <mergeCell ref="A520:C520"/>
    <mergeCell ref="A477:C477"/>
    <mergeCell ref="A476:J476"/>
    <mergeCell ref="A133:D133"/>
    <mergeCell ref="A134:C134"/>
    <mergeCell ref="A1253:C1253"/>
    <mergeCell ref="A1246:C1246"/>
    <mergeCell ref="A1215:C1215"/>
    <mergeCell ref="A1219:C1219"/>
    <mergeCell ref="A1232:D1232"/>
    <mergeCell ref="A1511:D1511"/>
    <mergeCell ref="A1586:C1586"/>
    <mergeCell ref="A1584:D1584"/>
    <mergeCell ref="A1579:C1579"/>
    <mergeCell ref="A1517:D1517"/>
    <mergeCell ref="B1514:B1516"/>
    <mergeCell ref="C1514:C1516"/>
    <mergeCell ref="D1514:I1514"/>
    <mergeCell ref="A1540:C1540"/>
    <mergeCell ref="A1513:J1513"/>
    <mergeCell ref="A1615:D1615"/>
    <mergeCell ref="A1363:D1363"/>
    <mergeCell ref="A1587:D1587"/>
    <mergeCell ref="A1612:C1612"/>
    <mergeCell ref="A1597:C1597"/>
    <mergeCell ref="A1533:C1533"/>
    <mergeCell ref="A1585:C1585"/>
    <mergeCell ref="A1549:C1549"/>
    <mergeCell ref="A1514:A1516"/>
    <mergeCell ref="A1518:C1518"/>
    <mergeCell ref="A1493:C1493"/>
    <mergeCell ref="A1472:C1472"/>
    <mergeCell ref="A1452:C1452"/>
    <mergeCell ref="A1436:C1436"/>
    <mergeCell ref="A1474:C1474"/>
    <mergeCell ref="A1456:J1456"/>
    <mergeCell ref="A1454:C1454"/>
    <mergeCell ref="A1455:C1455"/>
    <mergeCell ref="A1473:D1473"/>
    <mergeCell ref="A1457:C1457"/>
    <mergeCell ref="H1367:H1368"/>
    <mergeCell ref="A1332:D1332"/>
    <mergeCell ref="G1367:G1368"/>
    <mergeCell ref="A1359:C1359"/>
    <mergeCell ref="E1367:E1368"/>
    <mergeCell ref="D1366:I1366"/>
    <mergeCell ref="A1360:C1360"/>
    <mergeCell ref="A1344:C1344"/>
    <mergeCell ref="A1331:C1331"/>
    <mergeCell ref="A1328:D1328"/>
    <mergeCell ref="B1366:B1368"/>
    <mergeCell ref="A1262:J1262"/>
    <mergeCell ref="A1274:C1274"/>
    <mergeCell ref="A1288:C1288"/>
    <mergeCell ref="A1283:C1283"/>
    <mergeCell ref="A1278:C1278"/>
    <mergeCell ref="F1264:F1265"/>
    <mergeCell ref="G1264:G1265"/>
    <mergeCell ref="D1264:D1265"/>
    <mergeCell ref="E1264:E1265"/>
    <mergeCell ref="A1263:A1265"/>
    <mergeCell ref="A1266:D1266"/>
    <mergeCell ref="A1267:C1267"/>
    <mergeCell ref="D1263:I1263"/>
    <mergeCell ref="H1264:H1265"/>
    <mergeCell ref="I1264:I1265"/>
    <mergeCell ref="A1326:C1326"/>
    <mergeCell ref="A1322:C1322"/>
    <mergeCell ref="A1287:J1287"/>
    <mergeCell ref="A1289:D1289"/>
    <mergeCell ref="A1318:C1318"/>
    <mergeCell ref="C1045:C1047"/>
    <mergeCell ref="A1260:D1260"/>
    <mergeCell ref="D1046:D1047"/>
    <mergeCell ref="A1106:C1106"/>
    <mergeCell ref="D1142:D1143"/>
    <mergeCell ref="A1164:C1164"/>
    <mergeCell ref="A1220:D1220"/>
    <mergeCell ref="A1221:C1221"/>
    <mergeCell ref="A1110:C1110"/>
    <mergeCell ref="A1257:C1257"/>
    <mergeCell ref="A964:D964"/>
    <mergeCell ref="A965:C965"/>
    <mergeCell ref="A879:C879"/>
    <mergeCell ref="G962:G963"/>
    <mergeCell ref="A1019:C1019"/>
    <mergeCell ref="A1029:C1029"/>
    <mergeCell ref="A979:J979"/>
    <mergeCell ref="A970:C970"/>
    <mergeCell ref="A1022:D1022"/>
    <mergeCell ref="A974:C974"/>
    <mergeCell ref="A981:D981"/>
    <mergeCell ref="A1016:C1016"/>
    <mergeCell ref="A166:C166"/>
    <mergeCell ref="A165:C165"/>
    <mergeCell ref="A161:C161"/>
    <mergeCell ref="A146:J146"/>
    <mergeCell ref="A120:C120"/>
    <mergeCell ref="A88:D88"/>
    <mergeCell ref="A76:D76"/>
    <mergeCell ref="A77:C77"/>
    <mergeCell ref="A100:C100"/>
    <mergeCell ref="A99:J99"/>
    <mergeCell ref="A89:C89"/>
    <mergeCell ref="G131:G132"/>
    <mergeCell ref="A130:A132"/>
    <mergeCell ref="B130:B132"/>
    <mergeCell ref="A124:C124"/>
    <mergeCell ref="A128:J128"/>
    <mergeCell ref="A127:D127"/>
    <mergeCell ref="A129:J129"/>
    <mergeCell ref="H131:H132"/>
    <mergeCell ref="I131:I132"/>
    <mergeCell ref="F131:F132"/>
    <mergeCell ref="A260:C260"/>
    <mergeCell ref="A240:C240"/>
    <mergeCell ref="A243:C243"/>
    <mergeCell ref="A111:C111"/>
    <mergeCell ref="A125:J125"/>
    <mergeCell ref="A123:C123"/>
    <mergeCell ref="A192:C192"/>
    <mergeCell ref="J130:J132"/>
    <mergeCell ref="D131:D132"/>
    <mergeCell ref="E131:E132"/>
    <mergeCell ref="A288:C288"/>
    <mergeCell ref="A292:J292"/>
    <mergeCell ref="D295:D296"/>
    <mergeCell ref="A205:J205"/>
    <mergeCell ref="A206:C206"/>
    <mergeCell ref="A287:J287"/>
    <mergeCell ref="A272:C272"/>
    <mergeCell ref="A282:C282"/>
    <mergeCell ref="A269:C269"/>
    <mergeCell ref="A259:D259"/>
    <mergeCell ref="A174:C174"/>
    <mergeCell ref="A285:C285"/>
    <mergeCell ref="B294:B296"/>
    <mergeCell ref="A293:J293"/>
    <mergeCell ref="A286:C286"/>
    <mergeCell ref="J294:J296"/>
    <mergeCell ref="G295:G296"/>
    <mergeCell ref="H295:H296"/>
    <mergeCell ref="C294:C296"/>
    <mergeCell ref="D294:I294"/>
    <mergeCell ref="A170:C170"/>
    <mergeCell ref="A630:C630"/>
    <mergeCell ref="A611:C611"/>
    <mergeCell ref="A530:J530"/>
    <mergeCell ref="I295:I296"/>
    <mergeCell ref="A413:C413"/>
    <mergeCell ref="I532:I533"/>
    <mergeCell ref="A529:J529"/>
    <mergeCell ref="A457:C457"/>
    <mergeCell ref="D532:D533"/>
    <mergeCell ref="A524:C524"/>
    <mergeCell ref="B531:B533"/>
    <mergeCell ref="A535:C535"/>
    <mergeCell ref="A525:C525"/>
    <mergeCell ref="A534:D534"/>
    <mergeCell ref="A528:D528"/>
    <mergeCell ref="A526:J526"/>
    <mergeCell ref="E532:E533"/>
    <mergeCell ref="F532:F533"/>
    <mergeCell ref="G532:G533"/>
    <mergeCell ref="A635:C635"/>
    <mergeCell ref="A661:A663"/>
    <mergeCell ref="A659:J659"/>
    <mergeCell ref="A650:C650"/>
    <mergeCell ref="A655:C655"/>
    <mergeCell ref="A647:C647"/>
    <mergeCell ref="A660:J660"/>
    <mergeCell ref="J661:J663"/>
    <mergeCell ref="F662:F663"/>
    <mergeCell ref="G662:G663"/>
    <mergeCell ref="I662:I663"/>
    <mergeCell ref="H662:H663"/>
    <mergeCell ref="E662:E663"/>
    <mergeCell ref="A531:A533"/>
    <mergeCell ref="C531:C533"/>
    <mergeCell ref="A564:D564"/>
    <mergeCell ref="A565:C565"/>
    <mergeCell ref="A562:J562"/>
    <mergeCell ref="A547:C547"/>
    <mergeCell ref="H532:H533"/>
    <mergeCell ref="J531:J533"/>
    <mergeCell ref="D531:I531"/>
    <mergeCell ref="A557:C557"/>
    <mergeCell ref="A715:C715"/>
    <mergeCell ref="A716:D716"/>
    <mergeCell ref="A737:C737"/>
    <mergeCell ref="A721:C721"/>
    <mergeCell ref="A717:C717"/>
    <mergeCell ref="A728:C728"/>
    <mergeCell ref="A770:C770"/>
    <mergeCell ref="A758:C758"/>
    <mergeCell ref="A777:D777"/>
    <mergeCell ref="A778:C778"/>
    <mergeCell ref="A775:J775"/>
    <mergeCell ref="A764:C764"/>
    <mergeCell ref="A776:C776"/>
    <mergeCell ref="A774:C774"/>
    <mergeCell ref="A757:D757"/>
    <mergeCell ref="A1092:C1092"/>
    <mergeCell ref="A1067:J1067"/>
    <mergeCell ref="A847:J847"/>
    <mergeCell ref="J1045:J1047"/>
    <mergeCell ref="D1045:I1045"/>
    <mergeCell ref="H1046:H1047"/>
    <mergeCell ref="I1046:I1047"/>
    <mergeCell ref="A850:J850"/>
    <mergeCell ref="A795:C795"/>
    <mergeCell ref="A803:J803"/>
    <mergeCell ref="A1044:J1044"/>
    <mergeCell ref="E1046:E1047"/>
    <mergeCell ref="F1046:F1047"/>
    <mergeCell ref="G1046:G1047"/>
    <mergeCell ref="A1040:J1040"/>
    <mergeCell ref="A959:J959"/>
    <mergeCell ref="A918:C918"/>
    <mergeCell ref="A804:C804"/>
    <mergeCell ref="A820:C820"/>
    <mergeCell ref="A1108:D1108"/>
    <mergeCell ref="A819:C819"/>
    <mergeCell ref="A784:C784"/>
    <mergeCell ref="C852:C854"/>
    <mergeCell ref="D852:I852"/>
    <mergeCell ref="G853:G854"/>
    <mergeCell ref="H853:H854"/>
    <mergeCell ref="A812:C812"/>
    <mergeCell ref="A816:C816"/>
    <mergeCell ref="A1107:C1107"/>
    <mergeCell ref="A754:A756"/>
    <mergeCell ref="B754:B756"/>
    <mergeCell ref="C754:C756"/>
    <mergeCell ref="A753:J753"/>
    <mergeCell ref="D754:I754"/>
    <mergeCell ref="I755:I756"/>
    <mergeCell ref="A752:J752"/>
    <mergeCell ref="A749:J749"/>
    <mergeCell ref="A751:D751"/>
    <mergeCell ref="A747:C747"/>
    <mergeCell ref="A748:C748"/>
    <mergeCell ref="G1142:G1143"/>
    <mergeCell ref="H1142:H1143"/>
    <mergeCell ref="I1142:I1143"/>
    <mergeCell ref="A714:C714"/>
    <mergeCell ref="A1045:A1047"/>
    <mergeCell ref="A1100:C1100"/>
    <mergeCell ref="B1045:B1047"/>
    <mergeCell ref="D853:D854"/>
    <mergeCell ref="A856:C856"/>
    <mergeCell ref="A943:C943"/>
    <mergeCell ref="A673:C673"/>
    <mergeCell ref="B661:B663"/>
    <mergeCell ref="D662:D663"/>
    <mergeCell ref="A688:C688"/>
    <mergeCell ref="C661:C663"/>
    <mergeCell ref="A681:C681"/>
    <mergeCell ref="A665:C665"/>
    <mergeCell ref="A664:D664"/>
    <mergeCell ref="A702:C702"/>
    <mergeCell ref="A680:J680"/>
    <mergeCell ref="A710:C710"/>
    <mergeCell ref="A821:D821"/>
    <mergeCell ref="J754:J756"/>
    <mergeCell ref="D755:D756"/>
    <mergeCell ref="E755:E756"/>
    <mergeCell ref="F755:F756"/>
    <mergeCell ref="G755:G756"/>
    <mergeCell ref="H755:H756"/>
    <mergeCell ref="A1327:C1327"/>
    <mergeCell ref="A1364:J1364"/>
    <mergeCell ref="A1334:C1334"/>
    <mergeCell ref="A1366:A1368"/>
    <mergeCell ref="A1365:J1365"/>
    <mergeCell ref="J1366:J1368"/>
    <mergeCell ref="D1367:D1368"/>
    <mergeCell ref="A1361:J1361"/>
    <mergeCell ref="A1356:C1356"/>
    <mergeCell ref="A1333:C1333"/>
    <mergeCell ref="A1512:J1512"/>
    <mergeCell ref="A1509:J1509"/>
    <mergeCell ref="A1394:J1394"/>
    <mergeCell ref="A1451:C1451"/>
    <mergeCell ref="A1508:C1508"/>
    <mergeCell ref="A1397:C1397"/>
    <mergeCell ref="A1396:D1396"/>
    <mergeCell ref="A1395:C1395"/>
    <mergeCell ref="A1507:C1507"/>
    <mergeCell ref="A1503:C1503"/>
    <mergeCell ref="A1613:J1613"/>
    <mergeCell ref="A1537:J1537"/>
    <mergeCell ref="A1611:C1611"/>
    <mergeCell ref="A1538:C1538"/>
    <mergeCell ref="A1539:D1539"/>
    <mergeCell ref="A1582:C1582"/>
    <mergeCell ref="A1610:C1610"/>
    <mergeCell ref="A1607:C1607"/>
    <mergeCell ref="A1588:C1588"/>
    <mergeCell ref="A1583:C1583"/>
    <mergeCell ref="A31:D31"/>
    <mergeCell ref="A87:C87"/>
    <mergeCell ref="A74:C74"/>
    <mergeCell ref="A32:C32"/>
    <mergeCell ref="A40:C40"/>
    <mergeCell ref="A53:C53"/>
    <mergeCell ref="A67:C67"/>
    <mergeCell ref="A75:C75"/>
    <mergeCell ref="A71:C71"/>
    <mergeCell ref="J5:J7"/>
    <mergeCell ref="A30:C30"/>
    <mergeCell ref="E6:E7"/>
    <mergeCell ref="F6:F7"/>
    <mergeCell ref="G6:G7"/>
    <mergeCell ref="A29:J29"/>
    <mergeCell ref="A16:C16"/>
    <mergeCell ref="A21:C21"/>
    <mergeCell ref="H6:H7"/>
    <mergeCell ref="A8:D8"/>
    <mergeCell ref="A9:C9"/>
    <mergeCell ref="A25:C25"/>
    <mergeCell ref="A5:A7"/>
    <mergeCell ref="D5:I5"/>
    <mergeCell ref="I6:I7"/>
    <mergeCell ref="B5:B7"/>
    <mergeCell ref="C5:C7"/>
    <mergeCell ref="D6:D7"/>
    <mergeCell ref="A1:J1"/>
    <mergeCell ref="A3:J3"/>
    <mergeCell ref="A2:J2"/>
    <mergeCell ref="A4:J4"/>
    <mergeCell ref="A352:C352"/>
    <mergeCell ref="A325:C325"/>
    <mergeCell ref="A387:J387"/>
    <mergeCell ref="A339:C339"/>
    <mergeCell ref="A360:C360"/>
    <mergeCell ref="A358:C358"/>
    <mergeCell ref="A359:C359"/>
    <mergeCell ref="A383:C383"/>
    <mergeCell ref="A356:C356"/>
    <mergeCell ref="A357:D357"/>
    <mergeCell ref="A871:J871"/>
    <mergeCell ref="A852:A854"/>
    <mergeCell ref="B852:B854"/>
    <mergeCell ref="D961:I961"/>
    <mergeCell ref="A958:D958"/>
    <mergeCell ref="A950:C950"/>
    <mergeCell ref="A955:C955"/>
    <mergeCell ref="C961:C963"/>
    <mergeCell ref="I853:I854"/>
    <mergeCell ref="A1109:C1109"/>
    <mergeCell ref="A1048:D1048"/>
    <mergeCell ref="A960:J960"/>
    <mergeCell ref="A961:A963"/>
    <mergeCell ref="A954:C954"/>
    <mergeCell ref="E853:E854"/>
    <mergeCell ref="F962:F963"/>
    <mergeCell ref="B1263:B1265"/>
    <mergeCell ref="C1263:C1265"/>
    <mergeCell ref="A1145:C1145"/>
    <mergeCell ref="A1141:A1143"/>
    <mergeCell ref="A1231:C1231"/>
    <mergeCell ref="A1258:J1258"/>
    <mergeCell ref="J1141:J1143"/>
    <mergeCell ref="E1142:E1143"/>
    <mergeCell ref="F1142:F1143"/>
    <mergeCell ref="A1261:J1261"/>
    <mergeCell ref="A1369:D1369"/>
    <mergeCell ref="A1453:D1453"/>
    <mergeCell ref="A1416:C1416"/>
    <mergeCell ref="A1390:C1390"/>
    <mergeCell ref="A1380:C1380"/>
    <mergeCell ref="J1263:J1265"/>
    <mergeCell ref="J1514:J1516"/>
    <mergeCell ref="D1515:D1516"/>
    <mergeCell ref="E1515:E1516"/>
    <mergeCell ref="F1515:F1516"/>
    <mergeCell ref="G1515:G1516"/>
    <mergeCell ref="I1515:I1516"/>
    <mergeCell ref="H1515:H1516"/>
    <mergeCell ref="I1367:I1368"/>
    <mergeCell ref="F1367:F1368"/>
    <mergeCell ref="A314:J314"/>
    <mergeCell ref="A316:D316"/>
    <mergeCell ref="A297:D297"/>
    <mergeCell ref="A294:A296"/>
    <mergeCell ref="E295:E296"/>
    <mergeCell ref="A309:C309"/>
    <mergeCell ref="A315:C315"/>
    <mergeCell ref="A298:C298"/>
    <mergeCell ref="A306:C306"/>
    <mergeCell ref="F295:F296"/>
    <mergeCell ref="N651:P651"/>
    <mergeCell ref="A453:C453"/>
    <mergeCell ref="D389:I389"/>
    <mergeCell ref="H390:H391"/>
    <mergeCell ref="I390:I391"/>
    <mergeCell ref="J389:J391"/>
    <mergeCell ref="D390:D391"/>
    <mergeCell ref="A609:C609"/>
    <mergeCell ref="A563:C563"/>
    <mergeCell ref="A613:C613"/>
    <mergeCell ref="A191:J191"/>
    <mergeCell ref="A1617:D1617"/>
    <mergeCell ref="A1616:D1616"/>
    <mergeCell ref="A355:C355"/>
    <mergeCell ref="A1329:C1329"/>
    <mergeCell ref="A1330:C1330"/>
    <mergeCell ref="A718:C718"/>
    <mergeCell ref="A823:C823"/>
    <mergeCell ref="A825:D825"/>
    <mergeCell ref="E390:E391"/>
  </mergeCells>
  <printOptions horizontalCentered="1"/>
  <pageMargins left="0.7874015748031497" right="0.3937007874015748" top="0.3937007874015748" bottom="0.3937007874015748" header="0" footer="0"/>
  <pageSetup fitToHeight="6" fitToWidth="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81"/>
  <sheetViews>
    <sheetView zoomScale="110" zoomScaleNormal="110" zoomScalePageLayoutView="0" workbookViewId="0" topLeftCell="B1">
      <selection activeCell="B22" sqref="B22"/>
    </sheetView>
  </sheetViews>
  <sheetFormatPr defaultColWidth="9.00390625" defaultRowHeight="12.75" outlineLevelCol="1"/>
  <cols>
    <col min="1" max="1" width="2.875" style="276" customWidth="1"/>
    <col min="2" max="2" width="37.375" style="25" customWidth="1"/>
    <col min="3" max="3" width="11.25390625" style="25" customWidth="1"/>
    <col min="4" max="17" width="4.75390625" style="25" customWidth="1"/>
    <col min="18" max="18" width="11.00390625" style="25" customWidth="1"/>
    <col min="19" max="19" width="13.00390625" style="25" customWidth="1"/>
    <col min="20" max="20" width="11.25390625" style="25" customWidth="1"/>
    <col min="21" max="22" width="5.875" style="25" hidden="1" customWidth="1" outlineLevel="1"/>
    <col min="23" max="23" width="7.125" style="25" hidden="1" customWidth="1" outlineLevel="1"/>
    <col min="24" max="24" width="6.375" style="25" hidden="1" customWidth="1" outlineLevel="1"/>
    <col min="25" max="25" width="9.125" style="25" customWidth="1" collapsed="1"/>
    <col min="26" max="16384" width="9.125" style="25" customWidth="1"/>
  </cols>
  <sheetData>
    <row r="1" spans="1:24" ht="21.75" customHeight="1">
      <c r="A1" s="528" t="s">
        <v>531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</row>
    <row r="2" spans="1:24" ht="3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2"/>
      <c r="S2" s="32"/>
      <c r="T2" s="32"/>
      <c r="U2" s="32"/>
      <c r="V2" s="32"/>
      <c r="W2" s="32"/>
      <c r="X2" s="32"/>
    </row>
    <row r="3" spans="1:24" ht="15.75" customHeight="1" thickBot="1">
      <c r="A3" s="542" t="s">
        <v>75</v>
      </c>
      <c r="B3" s="544" t="s">
        <v>76</v>
      </c>
      <c r="C3" s="546" t="s">
        <v>313</v>
      </c>
      <c r="D3" s="544" t="s">
        <v>198</v>
      </c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6" t="s">
        <v>140</v>
      </c>
      <c r="S3" s="546" t="s">
        <v>124</v>
      </c>
      <c r="T3" s="537" t="s">
        <v>132</v>
      </c>
      <c r="U3" s="548" t="s">
        <v>125</v>
      </c>
      <c r="V3" s="548"/>
      <c r="W3" s="548"/>
      <c r="X3" s="533" t="s">
        <v>77</v>
      </c>
    </row>
    <row r="4" spans="1:24" ht="15.75" customHeight="1">
      <c r="A4" s="543"/>
      <c r="B4" s="545"/>
      <c r="C4" s="547"/>
      <c r="D4" s="527" t="s">
        <v>78</v>
      </c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47"/>
      <c r="S4" s="547"/>
      <c r="T4" s="538"/>
      <c r="U4" s="536" t="s">
        <v>79</v>
      </c>
      <c r="V4" s="529" t="s">
        <v>80</v>
      </c>
      <c r="W4" s="531" t="s">
        <v>81</v>
      </c>
      <c r="X4" s="534"/>
    </row>
    <row r="5" spans="1:24" ht="15.75" customHeight="1" thickBot="1">
      <c r="A5" s="543"/>
      <c r="B5" s="545"/>
      <c r="C5" s="547"/>
      <c r="D5" s="284">
        <v>1</v>
      </c>
      <c r="E5" s="284">
        <v>2</v>
      </c>
      <c r="F5" s="284">
        <v>3</v>
      </c>
      <c r="G5" s="284">
        <v>4</v>
      </c>
      <c r="H5" s="284">
        <v>5</v>
      </c>
      <c r="I5" s="284">
        <v>6</v>
      </c>
      <c r="J5" s="284">
        <v>7</v>
      </c>
      <c r="K5" s="284">
        <v>8</v>
      </c>
      <c r="L5" s="284">
        <v>9</v>
      </c>
      <c r="M5" s="284">
        <v>10</v>
      </c>
      <c r="N5" s="284">
        <v>11</v>
      </c>
      <c r="O5" s="284">
        <v>12</v>
      </c>
      <c r="P5" s="284">
        <v>13</v>
      </c>
      <c r="Q5" s="284">
        <v>14</v>
      </c>
      <c r="R5" s="547"/>
      <c r="S5" s="547"/>
      <c r="T5" s="538"/>
      <c r="U5" s="536"/>
      <c r="V5" s="530"/>
      <c r="W5" s="532"/>
      <c r="X5" s="535"/>
    </row>
    <row r="6" spans="1:24" s="165" customFormat="1" ht="16.5" customHeight="1">
      <c r="A6" s="332">
        <v>1</v>
      </c>
      <c r="B6" s="272" t="s">
        <v>314</v>
      </c>
      <c r="C6" s="285">
        <v>80</v>
      </c>
      <c r="D6" s="286">
        <f>Меню!M5</f>
        <v>70</v>
      </c>
      <c r="E6" s="286">
        <f>Меню!M133</f>
        <v>80</v>
      </c>
      <c r="F6" s="286">
        <f>Меню!M294</f>
        <v>70</v>
      </c>
      <c r="G6" s="286">
        <f>Меню!M389</f>
        <v>90</v>
      </c>
      <c r="H6" s="286">
        <f>Меню!M516</f>
        <v>65</v>
      </c>
      <c r="I6" s="286">
        <f>Меню!M658</f>
        <v>75</v>
      </c>
      <c r="J6" s="286">
        <f>Меню!M748</f>
        <v>90</v>
      </c>
      <c r="K6" s="286">
        <f>Меню!M846</f>
        <v>75</v>
      </c>
      <c r="L6" s="286">
        <f>Меню!M959</f>
        <v>100</v>
      </c>
      <c r="M6" s="286">
        <f>Меню!M1044</f>
        <v>75</v>
      </c>
      <c r="N6" s="286">
        <f>Меню!M1138</f>
        <v>80</v>
      </c>
      <c r="O6" s="286">
        <f>Меню!M1262</f>
        <v>65</v>
      </c>
      <c r="P6" s="286">
        <f>Меню!M1358</f>
        <v>80</v>
      </c>
      <c r="Q6" s="286">
        <f>Меню!M1519</f>
        <v>80</v>
      </c>
      <c r="R6" s="286">
        <f>SUM(D6:Q6)</f>
        <v>1095</v>
      </c>
      <c r="S6" s="239">
        <f>R6/14</f>
        <v>78.21428571428571</v>
      </c>
      <c r="T6" s="331">
        <f aca="true" t="shared" si="0" ref="T6:T33">S6*100/C6</f>
        <v>97.76785714285714</v>
      </c>
      <c r="U6" s="417">
        <f>S6*4.9/100</f>
        <v>3.8325</v>
      </c>
      <c r="V6" s="418">
        <f>S6*1/100</f>
        <v>0.782142857142857</v>
      </c>
      <c r="W6" s="419">
        <f>S6*46.1/100</f>
        <v>36.05678571428571</v>
      </c>
      <c r="X6" s="420">
        <f>W6*4+V6*9+U6*4</f>
        <v>166.59642857142856</v>
      </c>
    </row>
    <row r="7" spans="1:24" s="165" customFormat="1" ht="16.5" customHeight="1">
      <c r="A7" s="332">
        <f>A6+1</f>
        <v>2</v>
      </c>
      <c r="B7" s="272" t="s">
        <v>82</v>
      </c>
      <c r="C7" s="285">
        <v>150</v>
      </c>
      <c r="D7" s="286">
        <f>Меню!M6</f>
        <v>106</v>
      </c>
      <c r="E7" s="286">
        <f>Меню!M134</f>
        <v>121</v>
      </c>
      <c r="F7" s="286">
        <f>Меню!M295</f>
        <v>180</v>
      </c>
      <c r="G7" s="286">
        <f>Меню!M390</f>
        <v>120</v>
      </c>
      <c r="H7" s="286">
        <f>Меню!M517</f>
        <v>115</v>
      </c>
      <c r="I7" s="286">
        <f>Меню!M659</f>
        <v>175</v>
      </c>
      <c r="J7" s="286">
        <f>Меню!M749</f>
        <v>175</v>
      </c>
      <c r="K7" s="286">
        <f>Меню!M847</f>
        <v>95</v>
      </c>
      <c r="L7" s="286">
        <f>Меню!M960</f>
        <v>174</v>
      </c>
      <c r="M7" s="286">
        <f>Меню!M1045</f>
        <v>168</v>
      </c>
      <c r="N7" s="286">
        <f>Меню!M1139</f>
        <v>119</v>
      </c>
      <c r="O7" s="286">
        <f>Меню!M1263</f>
        <v>180</v>
      </c>
      <c r="P7" s="286">
        <f>Меню!M1359</f>
        <v>177</v>
      </c>
      <c r="Q7" s="286">
        <f>Меню!M1520</f>
        <v>135</v>
      </c>
      <c r="R7" s="286">
        <f>SUM(D7:Q7)</f>
        <v>2040</v>
      </c>
      <c r="S7" s="239">
        <f aca="true" t="shared" si="1" ref="S7:S33">R7/14</f>
        <v>145.71428571428572</v>
      </c>
      <c r="T7" s="331">
        <f t="shared" si="0"/>
        <v>97.14285714285715</v>
      </c>
      <c r="U7" s="174">
        <f>S7*7.9/100</f>
        <v>11.511428571428574</v>
      </c>
      <c r="V7" s="175">
        <f>S7*1/100</f>
        <v>1.4571428571428573</v>
      </c>
      <c r="W7" s="176">
        <f>S7*47.1/100</f>
        <v>68.63142857142857</v>
      </c>
      <c r="X7" s="177">
        <f aca="true" t="shared" si="2" ref="X7:X31">W7*4+V7*9+U7*4</f>
        <v>333.6857142857143</v>
      </c>
    </row>
    <row r="8" spans="1:24" s="165" customFormat="1" ht="16.5" customHeight="1">
      <c r="A8" s="332">
        <f aca="true" t="shared" si="3" ref="A8:A33">A7+1</f>
        <v>3</v>
      </c>
      <c r="B8" s="272" t="s">
        <v>262</v>
      </c>
      <c r="C8" s="285">
        <v>15</v>
      </c>
      <c r="D8" s="286">
        <f>Меню!M7</f>
        <v>19.2</v>
      </c>
      <c r="E8" s="286">
        <f>Меню!M135</f>
        <v>37.50000000000001</v>
      </c>
      <c r="F8" s="286">
        <f>Меню!M296</f>
        <v>3.6</v>
      </c>
      <c r="G8" s="286">
        <f>Меню!M391</f>
        <v>8.9</v>
      </c>
      <c r="H8" s="286">
        <f>Меню!M518</f>
        <v>48.6</v>
      </c>
      <c r="I8" s="286">
        <f>Меню!M660</f>
        <v>0</v>
      </c>
      <c r="J8" s="286">
        <f>Меню!M750</f>
        <v>2</v>
      </c>
      <c r="K8" s="286">
        <f>Меню!M848</f>
        <v>2.5</v>
      </c>
      <c r="L8" s="286">
        <f>Меню!M961</f>
        <v>0</v>
      </c>
      <c r="M8" s="286">
        <f>Меню!M1046</f>
        <v>9</v>
      </c>
      <c r="N8" s="286">
        <f>Меню!M1140</f>
        <v>30.3</v>
      </c>
      <c r="O8" s="286">
        <f>Меню!M1264</f>
        <v>15.8</v>
      </c>
      <c r="P8" s="286" t="e">
        <f>Меню!M1360</f>
        <v>#REF!</v>
      </c>
      <c r="Q8" s="286">
        <f>Меню!M1521</f>
        <v>1.5</v>
      </c>
      <c r="R8" s="286" t="e">
        <f aca="true" t="shared" si="4" ref="R8:R33">SUM(D8:Q8)</f>
        <v>#REF!</v>
      </c>
      <c r="S8" s="239" t="e">
        <f t="shared" si="1"/>
        <v>#REF!</v>
      </c>
      <c r="T8" s="331" t="e">
        <f t="shared" si="0"/>
        <v>#REF!</v>
      </c>
      <c r="U8" s="174" t="e">
        <f>S8*10.6/100</f>
        <v>#REF!</v>
      </c>
      <c r="V8" s="175" t="e">
        <f>S8*1.3/100</f>
        <v>#REF!</v>
      </c>
      <c r="W8" s="176" t="e">
        <f>S8*68.9/100</f>
        <v>#REF!</v>
      </c>
      <c r="X8" s="177" t="e">
        <f t="shared" si="2"/>
        <v>#REF!</v>
      </c>
    </row>
    <row r="9" spans="1:24" s="165" customFormat="1" ht="16.5" customHeight="1">
      <c r="A9" s="332">
        <f t="shared" si="3"/>
        <v>4</v>
      </c>
      <c r="B9" s="273" t="s">
        <v>315</v>
      </c>
      <c r="C9" s="287">
        <v>45</v>
      </c>
      <c r="D9" s="286">
        <f>Меню!M8</f>
        <v>71</v>
      </c>
      <c r="E9" s="286">
        <f>Меню!M136</f>
        <v>5</v>
      </c>
      <c r="F9" s="286">
        <f>Меню!M297</f>
        <v>65.5</v>
      </c>
      <c r="G9" s="286">
        <f>Меню!M392</f>
        <v>37</v>
      </c>
      <c r="H9" s="286">
        <f>Меню!M519</f>
        <v>17.083333333333332</v>
      </c>
      <c r="I9" s="286">
        <f>Меню!M661</f>
        <v>81</v>
      </c>
      <c r="J9" s="286">
        <f>Меню!M751</f>
        <v>37.5</v>
      </c>
      <c r="K9" s="286">
        <f>Меню!M849</f>
        <v>39.5</v>
      </c>
      <c r="L9" s="286">
        <f>Меню!M962</f>
        <v>19</v>
      </c>
      <c r="M9" s="286">
        <f>Меню!M1047</f>
        <v>55</v>
      </c>
      <c r="N9" s="286">
        <f>Меню!M1141</f>
        <v>56</v>
      </c>
      <c r="O9" s="286">
        <f>Меню!M1265</f>
        <v>64.5</v>
      </c>
      <c r="P9" s="286">
        <f>Меню!M1361</f>
        <v>33</v>
      </c>
      <c r="Q9" s="286">
        <f>Меню!M1522</f>
        <v>30</v>
      </c>
      <c r="R9" s="286">
        <f t="shared" si="4"/>
        <v>611.0833333333334</v>
      </c>
      <c r="S9" s="239">
        <f t="shared" si="1"/>
        <v>43.648809523809526</v>
      </c>
      <c r="T9" s="331">
        <f t="shared" si="0"/>
        <v>96.9973544973545</v>
      </c>
      <c r="U9" s="174">
        <f>S9*7/100</f>
        <v>3.055416666666667</v>
      </c>
      <c r="V9" s="175">
        <f>S9*1/100</f>
        <v>0.43648809523809523</v>
      </c>
      <c r="W9" s="176">
        <f>S9*37.9/100</f>
        <v>16.54289880952381</v>
      </c>
      <c r="X9" s="177">
        <f t="shared" si="2"/>
        <v>82.32165476190475</v>
      </c>
    </row>
    <row r="10" spans="1:24" s="165" customFormat="1" ht="16.5" customHeight="1">
      <c r="A10" s="332">
        <v>5</v>
      </c>
      <c r="B10" s="273" t="s">
        <v>316</v>
      </c>
      <c r="C10" s="287">
        <v>15</v>
      </c>
      <c r="D10" s="286">
        <f>Меню!M9</f>
        <v>0</v>
      </c>
      <c r="E10" s="286">
        <f>Меню!M137</f>
        <v>53</v>
      </c>
      <c r="F10" s="286">
        <f>Меню!M298</f>
        <v>0</v>
      </c>
      <c r="G10" s="286">
        <f>Меню!M393</f>
        <v>0</v>
      </c>
      <c r="H10" s="286">
        <f>Меню!M520</f>
        <v>53</v>
      </c>
      <c r="I10" s="286">
        <f>Меню!M662</f>
        <v>0</v>
      </c>
      <c r="J10" s="286">
        <f>Меню!M752</f>
        <v>20</v>
      </c>
      <c r="K10" s="286">
        <f>Меню!M850</f>
        <v>0</v>
      </c>
      <c r="L10" s="286">
        <f>Меню!M963</f>
        <v>0</v>
      </c>
      <c r="M10" s="286">
        <f>Меню!M1048</f>
        <v>53</v>
      </c>
      <c r="N10" s="286">
        <f>Меню!M1142</f>
        <v>0</v>
      </c>
      <c r="O10" s="286">
        <f>Меню!M1266</f>
        <v>0</v>
      </c>
      <c r="P10" s="286">
        <f>Меню!M1362</f>
        <v>20</v>
      </c>
      <c r="Q10" s="286">
        <f>Меню!M1523</f>
        <v>0</v>
      </c>
      <c r="R10" s="286">
        <f t="shared" si="4"/>
        <v>199</v>
      </c>
      <c r="S10" s="239">
        <f t="shared" si="1"/>
        <v>14.214285714285714</v>
      </c>
      <c r="T10" s="331">
        <f t="shared" si="0"/>
        <v>94.76190476190476</v>
      </c>
      <c r="U10" s="174"/>
      <c r="V10" s="175"/>
      <c r="W10" s="176"/>
      <c r="X10" s="177"/>
    </row>
    <row r="11" spans="1:24" s="165" customFormat="1" ht="16.5" customHeight="1">
      <c r="A11" s="332">
        <v>6</v>
      </c>
      <c r="B11" s="272" t="s">
        <v>136</v>
      </c>
      <c r="C11" s="285">
        <v>250</v>
      </c>
      <c r="D11" s="286">
        <f>Меню!M10</f>
        <v>168.06</v>
      </c>
      <c r="E11" s="286">
        <f>Меню!M138</f>
        <v>192.95230769230767</v>
      </c>
      <c r="F11" s="286">
        <f>Меню!M299</f>
        <v>4</v>
      </c>
      <c r="G11" s="286">
        <f>Меню!M394</f>
        <v>269.325</v>
      </c>
      <c r="H11" s="286">
        <f>Меню!M521</f>
        <v>144.97000000000003</v>
      </c>
      <c r="I11" s="286">
        <f>Меню!M663</f>
        <v>283.39230769230767</v>
      </c>
      <c r="J11" s="286">
        <f>Меню!M753</f>
        <v>305.90000000000003</v>
      </c>
      <c r="K11" s="286">
        <f>Меню!M851</f>
        <v>478.8</v>
      </c>
      <c r="L11" s="286">
        <f>Меню!M964</f>
        <v>250.1423076923077</v>
      </c>
      <c r="M11" s="286">
        <f>Меню!M1049</f>
        <v>113.05000000000001</v>
      </c>
      <c r="N11" s="286">
        <f>Меню!M1143</f>
        <v>191.6223076923077</v>
      </c>
      <c r="O11" s="286">
        <f>Меню!M1267</f>
        <v>226.10000000000002</v>
      </c>
      <c r="P11" s="286">
        <f>Меню!M1363</f>
        <v>313.88</v>
      </c>
      <c r="Q11" s="286">
        <f>Меню!M1524</f>
        <v>285.95000000000005</v>
      </c>
      <c r="R11" s="286">
        <f t="shared" si="4"/>
        <v>3228.1442307692314</v>
      </c>
      <c r="S11" s="239">
        <f t="shared" si="1"/>
        <v>230.5817307692308</v>
      </c>
      <c r="T11" s="331">
        <f t="shared" si="0"/>
        <v>92.23269230769233</v>
      </c>
      <c r="U11" s="174">
        <f>S11*2/100</f>
        <v>4.611634615384616</v>
      </c>
      <c r="V11" s="175">
        <f>S11*0.4/100</f>
        <v>0.9223269230769233</v>
      </c>
      <c r="W11" s="176">
        <f>S11*16.3/100</f>
        <v>37.584822115384625</v>
      </c>
      <c r="X11" s="177">
        <f t="shared" si="2"/>
        <v>177.08676923076928</v>
      </c>
    </row>
    <row r="12" spans="1:24" s="165" customFormat="1" ht="16.5" customHeight="1">
      <c r="A12" s="332">
        <v>7</v>
      </c>
      <c r="B12" s="272" t="s">
        <v>317</v>
      </c>
      <c r="C12" s="285">
        <v>350</v>
      </c>
      <c r="D12" s="286">
        <f>Меню!M11</f>
        <v>298.51</v>
      </c>
      <c r="E12" s="286">
        <f>Меню!M139</f>
        <v>231.41</v>
      </c>
      <c r="F12" s="286" t="e">
        <f>Меню!M300</f>
        <v>#REF!</v>
      </c>
      <c r="G12" s="286">
        <f>Меню!M395</f>
        <v>395.87533333333334</v>
      </c>
      <c r="H12" s="286">
        <f>Меню!M522</f>
        <v>321.204</v>
      </c>
      <c r="I12" s="286">
        <f>Меню!M664</f>
        <v>280.07</v>
      </c>
      <c r="J12" s="286">
        <f>Меню!M754</f>
        <v>243.51000000000002</v>
      </c>
      <c r="K12" s="286">
        <f>Меню!M852</f>
        <v>356.08599999999996</v>
      </c>
      <c r="L12" s="286">
        <f>Меню!M965</f>
        <v>230.83</v>
      </c>
      <c r="M12" s="286">
        <f>Меню!M1050</f>
        <v>316.40999999999997</v>
      </c>
      <c r="N12" s="286">
        <f>Меню!M1144</f>
        <v>340.71500000000003</v>
      </c>
      <c r="O12" s="286">
        <f>Меню!M1268</f>
        <v>242.97000000000003</v>
      </c>
      <c r="P12" s="286">
        <f>Меню!M1364</f>
        <v>349.26</v>
      </c>
      <c r="Q12" s="286">
        <f>Меню!M1525</f>
        <v>428.6925</v>
      </c>
      <c r="R12" s="286" t="e">
        <f t="shared" si="4"/>
        <v>#REF!</v>
      </c>
      <c r="S12" s="239" t="e">
        <f t="shared" si="1"/>
        <v>#REF!</v>
      </c>
      <c r="T12" s="331" t="e">
        <f t="shared" si="0"/>
        <v>#REF!</v>
      </c>
      <c r="U12" s="174" t="e">
        <f>S12*1.4/100</f>
        <v>#REF!</v>
      </c>
      <c r="V12" s="175" t="e">
        <f>S12*0/100</f>
        <v>#REF!</v>
      </c>
      <c r="W12" s="176" t="e">
        <f>S12*9.1/100</f>
        <v>#REF!</v>
      </c>
      <c r="X12" s="177" t="e">
        <f t="shared" si="2"/>
        <v>#REF!</v>
      </c>
    </row>
    <row r="13" spans="1:24" s="165" customFormat="1" ht="16.5" customHeight="1">
      <c r="A13" s="332">
        <v>8</v>
      </c>
      <c r="B13" s="272" t="s">
        <v>318</v>
      </c>
      <c r="C13" s="285">
        <v>200</v>
      </c>
      <c r="D13" s="286">
        <f>Меню!M12</f>
        <v>180</v>
      </c>
      <c r="E13" s="286">
        <f>Меню!M140</f>
        <v>237</v>
      </c>
      <c r="F13" s="286">
        <f>Меню!M301</f>
        <v>180</v>
      </c>
      <c r="G13" s="286">
        <f>Меню!M396</f>
        <v>231.3</v>
      </c>
      <c r="H13" s="286">
        <f>Меню!M523</f>
        <v>216.69833333333332</v>
      </c>
      <c r="I13" s="286">
        <f>Меню!M665</f>
        <v>225.6</v>
      </c>
      <c r="J13" s="286">
        <f>Меню!M755</f>
        <v>180</v>
      </c>
      <c r="K13" s="286">
        <f>Меню!M853</f>
        <v>222.18</v>
      </c>
      <c r="L13" s="286">
        <f>Меню!M966</f>
        <v>225.6</v>
      </c>
      <c r="M13" s="286">
        <f>Меню!M1051</f>
        <v>186</v>
      </c>
      <c r="N13" s="286">
        <f>Меню!M1145</f>
        <v>180</v>
      </c>
      <c r="O13" s="286">
        <f>Меню!M1269</f>
        <v>205.3</v>
      </c>
      <c r="P13" s="286">
        <f>Меню!M1365</f>
        <v>236.32999999999998</v>
      </c>
      <c r="Q13" s="286">
        <f>Меню!M1526</f>
        <v>180</v>
      </c>
      <c r="R13" s="286">
        <f t="shared" si="4"/>
        <v>2886.008333333333</v>
      </c>
      <c r="S13" s="239">
        <f t="shared" si="1"/>
        <v>206.14345238095237</v>
      </c>
      <c r="T13" s="331">
        <f t="shared" si="0"/>
        <v>103.07172619047618</v>
      </c>
      <c r="U13" s="174">
        <f>S13*0.4/100</f>
        <v>0.8245738095238095</v>
      </c>
      <c r="V13" s="175">
        <f>S13*0.4/100</f>
        <v>0.8245738095238095</v>
      </c>
      <c r="W13" s="176">
        <f>S13*9.8/100</f>
        <v>20.202058333333333</v>
      </c>
      <c r="X13" s="177">
        <f t="shared" si="2"/>
        <v>91.52769285714285</v>
      </c>
    </row>
    <row r="14" spans="1:24" s="165" customFormat="1" ht="26.25" customHeight="1">
      <c r="A14" s="332">
        <v>9</v>
      </c>
      <c r="B14" s="273" t="s">
        <v>320</v>
      </c>
      <c r="C14" s="285">
        <v>200</v>
      </c>
      <c r="D14" s="288">
        <f>Меню!M13</f>
        <v>200</v>
      </c>
      <c r="E14" s="288">
        <f>Меню!M141</f>
        <v>200</v>
      </c>
      <c r="F14" s="288">
        <f>Меню!M302</f>
        <v>200</v>
      </c>
      <c r="G14" s="288">
        <f>Меню!M397</f>
        <v>200</v>
      </c>
      <c r="H14" s="288">
        <f>Меню!M524</f>
        <v>200</v>
      </c>
      <c r="I14" s="288">
        <f>Меню!M666</f>
        <v>200</v>
      </c>
      <c r="J14" s="288">
        <f>Меню!M756</f>
        <v>200</v>
      </c>
      <c r="K14" s="288">
        <f>Меню!M854</f>
        <v>200</v>
      </c>
      <c r="L14" s="288">
        <f>Меню!M967</f>
        <v>200</v>
      </c>
      <c r="M14" s="288">
        <f>Меню!M1052</f>
        <v>200</v>
      </c>
      <c r="N14" s="288">
        <f>Меню!M1146</f>
        <v>200</v>
      </c>
      <c r="O14" s="288">
        <f>Меню!M1270</f>
        <v>200</v>
      </c>
      <c r="P14" s="288">
        <f>Меню!M1366</f>
        <v>200</v>
      </c>
      <c r="Q14" s="288">
        <f>Меню!M1527</f>
        <v>200</v>
      </c>
      <c r="R14" s="286">
        <f t="shared" si="4"/>
        <v>2800</v>
      </c>
      <c r="S14" s="239">
        <f t="shared" si="1"/>
        <v>200</v>
      </c>
      <c r="T14" s="331">
        <f t="shared" si="0"/>
        <v>100</v>
      </c>
      <c r="U14" s="174">
        <f>S14*1.5/100</f>
        <v>3</v>
      </c>
      <c r="V14" s="175">
        <f>S14*0.1/100</f>
        <v>0.2</v>
      </c>
      <c r="W14" s="176">
        <f>S14*21.8/100</f>
        <v>43.6</v>
      </c>
      <c r="X14" s="177">
        <f t="shared" si="2"/>
        <v>188.20000000000002</v>
      </c>
    </row>
    <row r="15" spans="1:24" s="165" customFormat="1" ht="16.5" customHeight="1">
      <c r="A15" s="332">
        <f t="shared" si="3"/>
        <v>10</v>
      </c>
      <c r="B15" s="272" t="s">
        <v>319</v>
      </c>
      <c r="C15" s="285">
        <v>15</v>
      </c>
      <c r="D15" s="286">
        <f>Меню!M14</f>
        <v>25</v>
      </c>
      <c r="E15" s="286">
        <f>Меню!M142</f>
        <v>33.2</v>
      </c>
      <c r="F15" s="286">
        <f>Меню!M303</f>
        <v>20</v>
      </c>
      <c r="G15" s="286">
        <f>Меню!M398</f>
        <v>0</v>
      </c>
      <c r="H15" s="286">
        <f>Меню!M525</f>
        <v>0</v>
      </c>
      <c r="I15" s="286">
        <f>Меню!M667</f>
        <v>18.5</v>
      </c>
      <c r="J15" s="286">
        <f>Меню!M757</f>
        <v>20</v>
      </c>
      <c r="K15" s="286">
        <f>Меню!M855</f>
        <v>25</v>
      </c>
      <c r="L15" s="286">
        <f>Меню!M968</f>
        <v>0</v>
      </c>
      <c r="M15" s="286">
        <f>Меню!M1053</f>
        <v>20</v>
      </c>
      <c r="N15" s="286">
        <f>Меню!M1147</f>
        <v>20</v>
      </c>
      <c r="O15" s="286">
        <f>Меню!M1271</f>
        <v>0</v>
      </c>
      <c r="P15" s="286">
        <f>Меню!M1367</f>
        <v>9</v>
      </c>
      <c r="Q15" s="286">
        <f>Меню!M1528</f>
        <v>20</v>
      </c>
      <c r="R15" s="286">
        <f t="shared" si="4"/>
        <v>210.7</v>
      </c>
      <c r="S15" s="239">
        <f t="shared" si="1"/>
        <v>15.049999999999999</v>
      </c>
      <c r="T15" s="331">
        <f t="shared" si="0"/>
        <v>100.33333333333333</v>
      </c>
      <c r="U15" s="174">
        <f>S15*0.6/100</f>
        <v>0.09029999999999999</v>
      </c>
      <c r="V15" s="179">
        <f>S15*0/100</f>
        <v>0</v>
      </c>
      <c r="W15" s="176">
        <f>S15*70.3/100</f>
        <v>10.580149999999998</v>
      </c>
      <c r="X15" s="177">
        <f t="shared" si="2"/>
        <v>42.68179999999999</v>
      </c>
    </row>
    <row r="16" spans="1:24" s="165" customFormat="1" ht="16.5" customHeight="1">
      <c r="A16" s="332">
        <f t="shared" si="3"/>
        <v>11</v>
      </c>
      <c r="B16" s="272" t="s">
        <v>87</v>
      </c>
      <c r="C16" s="285">
        <v>40</v>
      </c>
      <c r="D16" s="286">
        <f>Меню!M15</f>
        <v>40</v>
      </c>
      <c r="E16" s="286">
        <f>Меню!M143</f>
        <v>57.900000000000006</v>
      </c>
      <c r="F16" s="286">
        <f>Меню!M304</f>
        <v>36</v>
      </c>
      <c r="G16" s="286">
        <f>Меню!M399</f>
        <v>45</v>
      </c>
      <c r="H16" s="286">
        <f>Меню!M526</f>
        <v>165.7</v>
      </c>
      <c r="I16" s="286">
        <f>Меню!M668</f>
        <v>34</v>
      </c>
      <c r="J16" s="286">
        <f>Меню!M758</f>
        <v>39</v>
      </c>
      <c r="K16" s="286">
        <f>Меню!M856</f>
        <v>43.5</v>
      </c>
      <c r="L16" s="286">
        <f>Меню!M969</f>
        <v>30</v>
      </c>
      <c r="M16" s="286">
        <f>Меню!M1054</f>
        <v>51</v>
      </c>
      <c r="N16" s="286">
        <f>Меню!M1148</f>
        <v>57</v>
      </c>
      <c r="O16" s="286">
        <f>Меню!M1272</f>
        <v>34</v>
      </c>
      <c r="P16" s="286">
        <f>Меню!M1368</f>
        <v>67.6</v>
      </c>
      <c r="Q16" s="286">
        <f>Меню!M1529</f>
        <v>40.5</v>
      </c>
      <c r="R16" s="286">
        <f t="shared" si="4"/>
        <v>741.2</v>
      </c>
      <c r="S16" s="239">
        <f t="shared" si="1"/>
        <v>52.94285714285714</v>
      </c>
      <c r="T16" s="331">
        <f t="shared" si="0"/>
        <v>132.35714285714286</v>
      </c>
      <c r="U16" s="174">
        <f>S16*1.5/100</f>
        <v>0.7941428571428572</v>
      </c>
      <c r="V16" s="175">
        <f>S16*0.1/100</f>
        <v>0.052942857142857146</v>
      </c>
      <c r="W16" s="176">
        <f>S16*99.8/100</f>
        <v>52.836971428571424</v>
      </c>
      <c r="X16" s="177">
        <f t="shared" si="2"/>
        <v>215.00094285714283</v>
      </c>
    </row>
    <row r="17" spans="1:24" s="165" customFormat="1" ht="16.5" customHeight="1">
      <c r="A17" s="332">
        <f t="shared" si="3"/>
        <v>12</v>
      </c>
      <c r="B17" s="272" t="s">
        <v>207</v>
      </c>
      <c r="C17" s="285">
        <v>10</v>
      </c>
      <c r="D17" s="286">
        <f>Меню!M16</f>
        <v>10</v>
      </c>
      <c r="E17" s="286">
        <f>Меню!M144</f>
        <v>0</v>
      </c>
      <c r="F17" s="286">
        <f>Меню!M305</f>
        <v>0</v>
      </c>
      <c r="G17" s="286">
        <f>Меню!M400</f>
        <v>30</v>
      </c>
      <c r="H17" s="286">
        <f>Меню!M527</f>
        <v>0</v>
      </c>
      <c r="I17" s="286">
        <f>Меню!M669</f>
        <v>10</v>
      </c>
      <c r="J17" s="286">
        <f>Меню!M759</f>
        <v>0</v>
      </c>
      <c r="K17" s="286">
        <f>Меню!M857</f>
        <v>30</v>
      </c>
      <c r="L17" s="286">
        <f>Меню!M970</f>
        <v>10</v>
      </c>
      <c r="M17" s="286">
        <f>Меню!M1055</f>
        <v>0</v>
      </c>
      <c r="N17" s="286">
        <f>Меню!M1149</f>
        <v>0</v>
      </c>
      <c r="O17" s="286">
        <f>Меню!M1273</f>
        <v>10</v>
      </c>
      <c r="P17" s="286">
        <f>Меню!M1369</f>
        <v>0</v>
      </c>
      <c r="Q17" s="286">
        <f>Меню!M1530</f>
        <v>45</v>
      </c>
      <c r="R17" s="286">
        <f t="shared" si="4"/>
        <v>145</v>
      </c>
      <c r="S17" s="239">
        <f t="shared" si="1"/>
        <v>10.357142857142858</v>
      </c>
      <c r="T17" s="331">
        <f t="shared" si="0"/>
        <v>103.57142857142858</v>
      </c>
      <c r="U17" s="174"/>
      <c r="V17" s="175"/>
      <c r="W17" s="176"/>
      <c r="X17" s="177"/>
    </row>
    <row r="18" spans="1:24" s="165" customFormat="1" ht="16.5" customHeight="1">
      <c r="A18" s="332">
        <f t="shared" si="3"/>
        <v>13</v>
      </c>
      <c r="B18" s="272" t="s">
        <v>327</v>
      </c>
      <c r="C18" s="285">
        <v>1.2</v>
      </c>
      <c r="D18" s="289">
        <f>Меню!M17</f>
        <v>1</v>
      </c>
      <c r="E18" s="289">
        <f>Меню!M145</f>
        <v>2</v>
      </c>
      <c r="F18" s="289">
        <f>Меню!M306</f>
        <v>2.5</v>
      </c>
      <c r="G18" s="289">
        <f>Меню!M401</f>
        <v>1</v>
      </c>
      <c r="H18" s="289">
        <f>Меню!M528</f>
        <v>1.4</v>
      </c>
      <c r="I18" s="289">
        <f>Меню!M670</f>
        <v>0</v>
      </c>
      <c r="J18" s="289">
        <f>Меню!M760</f>
        <v>2.5</v>
      </c>
      <c r="K18" s="289">
        <f>Меню!M858</f>
        <v>0</v>
      </c>
      <c r="L18" s="289">
        <f>Меню!M971</f>
        <v>1.4</v>
      </c>
      <c r="M18" s="289">
        <f>Меню!M1056</f>
        <v>1</v>
      </c>
      <c r="N18" s="289">
        <f>Меню!M1150</f>
        <v>2.5</v>
      </c>
      <c r="O18" s="289">
        <f>Меню!M1274</f>
        <v>0</v>
      </c>
      <c r="P18" s="289">
        <f>Меню!M1370</f>
        <v>3</v>
      </c>
      <c r="Q18" s="289">
        <f>Меню!M1531</f>
        <v>0</v>
      </c>
      <c r="R18" s="286">
        <f t="shared" si="4"/>
        <v>18.3</v>
      </c>
      <c r="S18" s="367">
        <f t="shared" si="1"/>
        <v>1.3071428571428572</v>
      </c>
      <c r="T18" s="331">
        <f t="shared" si="0"/>
        <v>108.92857142857144</v>
      </c>
      <c r="U18" s="174">
        <f>S18*1.5/100</f>
        <v>0.019607142857142858</v>
      </c>
      <c r="V18" s="175">
        <f>S18*4.8/100</f>
        <v>0.06274285714285714</v>
      </c>
      <c r="W18" s="176">
        <f>S18*81.2/100</f>
        <v>1.0614</v>
      </c>
      <c r="X18" s="177">
        <f t="shared" si="2"/>
        <v>4.888714285714285</v>
      </c>
    </row>
    <row r="19" spans="1:24" s="165" customFormat="1" ht="16.5" customHeight="1">
      <c r="A19" s="332">
        <f t="shared" si="3"/>
        <v>14</v>
      </c>
      <c r="B19" s="272" t="s">
        <v>88</v>
      </c>
      <c r="C19" s="285">
        <v>0.4</v>
      </c>
      <c r="D19" s="289">
        <f>Меню!M18</f>
        <v>0.4</v>
      </c>
      <c r="E19" s="289">
        <f>Меню!M146</f>
        <v>0</v>
      </c>
      <c r="F19" s="289">
        <f>Меню!M307</f>
        <v>0.4</v>
      </c>
      <c r="G19" s="289">
        <f>Меню!M402</f>
        <v>0.4</v>
      </c>
      <c r="H19" s="289">
        <f>Меню!M529</f>
        <v>0.4</v>
      </c>
      <c r="I19" s="289">
        <f>Меню!M671</f>
        <v>0.8</v>
      </c>
      <c r="J19" s="289">
        <f>Меню!M761</f>
        <v>0</v>
      </c>
      <c r="K19" s="289">
        <f>Меню!M859</f>
        <v>0.4</v>
      </c>
      <c r="L19" s="289">
        <f>Меню!M972</f>
        <v>0.4</v>
      </c>
      <c r="M19" s="289">
        <f>Меню!M1057</f>
        <v>0.4</v>
      </c>
      <c r="N19" s="289">
        <f>Меню!M1151</f>
        <v>0.4</v>
      </c>
      <c r="O19" s="289">
        <f>Меню!M1275</f>
        <v>1</v>
      </c>
      <c r="P19" s="289">
        <f>Меню!M1371</f>
        <v>0.4</v>
      </c>
      <c r="Q19" s="289">
        <f>Меню!M1532</f>
        <v>0.8</v>
      </c>
      <c r="R19" s="286">
        <f t="shared" si="4"/>
        <v>6.2</v>
      </c>
      <c r="S19" s="367">
        <f t="shared" si="1"/>
        <v>0.4428571428571429</v>
      </c>
      <c r="T19" s="331">
        <f t="shared" si="0"/>
        <v>110.71428571428572</v>
      </c>
      <c r="U19" s="174">
        <f>S19*1.5/100</f>
        <v>0.006642857142857144</v>
      </c>
      <c r="V19" s="175">
        <f>S19*5.1/100</f>
        <v>0.022585714285714285</v>
      </c>
      <c r="W19" s="176">
        <f>S19*4/100</f>
        <v>0.017714285714285717</v>
      </c>
      <c r="X19" s="177">
        <f t="shared" si="2"/>
        <v>0.3007</v>
      </c>
    </row>
    <row r="20" spans="1:24" s="165" customFormat="1" ht="16.5" customHeight="1">
      <c r="A20" s="332">
        <f t="shared" si="3"/>
        <v>15</v>
      </c>
      <c r="B20" s="272" t="s">
        <v>321</v>
      </c>
      <c r="C20" s="285">
        <v>95</v>
      </c>
      <c r="D20" s="286">
        <f>Меню!M19</f>
        <v>78.88000000000001</v>
      </c>
      <c r="E20" s="286">
        <f>Меню!M147</f>
        <v>90.86</v>
      </c>
      <c r="F20" s="286">
        <f>Меню!M308</f>
        <v>186.44</v>
      </c>
      <c r="G20" s="286">
        <f>Меню!M403</f>
        <v>21.76</v>
      </c>
      <c r="H20" s="286">
        <f>Меню!M530</f>
        <v>139.76</v>
      </c>
      <c r="I20" s="286">
        <f>Меню!M672</f>
        <v>106.65</v>
      </c>
      <c r="J20" s="286">
        <f>Меню!M762</f>
        <v>186.44</v>
      </c>
      <c r="K20" s="286">
        <f>Меню!M860</f>
        <v>71.6</v>
      </c>
      <c r="L20" s="286">
        <f>Меню!M973</f>
        <v>21.76</v>
      </c>
      <c r="M20" s="286">
        <f>Меню!M1058</f>
        <v>107.44000000000001</v>
      </c>
      <c r="N20" s="286">
        <f>Меню!M1152</f>
        <v>91.88</v>
      </c>
      <c r="O20" s="286">
        <f>Меню!M1276</f>
        <v>93.22</v>
      </c>
      <c r="P20" s="286">
        <f>Меню!M1372</f>
        <v>67.25999999999999</v>
      </c>
      <c r="Q20" s="286">
        <f>Меню!M1533</f>
        <v>160.22</v>
      </c>
      <c r="R20" s="286">
        <f t="shared" si="4"/>
        <v>1424.17</v>
      </c>
      <c r="S20" s="239">
        <f t="shared" si="1"/>
        <v>101.72642857142857</v>
      </c>
      <c r="T20" s="331">
        <f t="shared" si="0"/>
        <v>107.08045112781954</v>
      </c>
      <c r="U20" s="174">
        <f>S20*17.1/100</f>
        <v>17.395219285714287</v>
      </c>
      <c r="V20" s="175">
        <f>S20*10/100</f>
        <v>10.172642857142858</v>
      </c>
      <c r="W20" s="176">
        <v>0</v>
      </c>
      <c r="X20" s="177">
        <f t="shared" si="2"/>
        <v>161.13466285714287</v>
      </c>
    </row>
    <row r="21" spans="1:24" s="165" customFormat="1" ht="16.5" customHeight="1">
      <c r="A21" s="332">
        <f t="shared" si="3"/>
        <v>16</v>
      </c>
      <c r="B21" s="272" t="s">
        <v>322</v>
      </c>
      <c r="C21" s="285">
        <v>40</v>
      </c>
      <c r="D21" s="286">
        <f>Меню!M20</f>
        <v>94.3</v>
      </c>
      <c r="E21" s="286">
        <f>Меню!M148</f>
        <v>16</v>
      </c>
      <c r="F21" s="286">
        <f>Меню!M309</f>
        <v>0</v>
      </c>
      <c r="G21" s="286">
        <f>Меню!M404</f>
        <v>86.428</v>
      </c>
      <c r="H21" s="286">
        <f>Меню!M531</f>
        <v>86</v>
      </c>
      <c r="I21" s="286">
        <f>Меню!M673</f>
        <v>158.1</v>
      </c>
      <c r="J21" s="286">
        <f>Меню!M763</f>
        <v>0</v>
      </c>
      <c r="K21" s="286">
        <f>Меню!M861</f>
        <v>86.428</v>
      </c>
      <c r="L21" s="286">
        <f>Меню!M974</f>
        <v>0</v>
      </c>
      <c r="M21" s="286">
        <f>Меню!M1059</f>
        <v>87.482</v>
      </c>
      <c r="N21" s="286">
        <f>Меню!M1153</f>
        <v>0</v>
      </c>
      <c r="O21" s="286">
        <f>Меню!M1277</f>
        <v>0</v>
      </c>
      <c r="P21" s="286">
        <f>Меню!M1373</f>
        <v>16</v>
      </c>
      <c r="Q21" s="286">
        <f>Меню!M1534</f>
        <v>0</v>
      </c>
      <c r="R21" s="286">
        <f t="shared" si="4"/>
        <v>630.7379999999999</v>
      </c>
      <c r="S21" s="239">
        <f t="shared" si="1"/>
        <v>45.05271428571428</v>
      </c>
      <c r="T21" s="331">
        <f t="shared" si="0"/>
        <v>112.63178571428571</v>
      </c>
      <c r="U21" s="174"/>
      <c r="V21" s="175"/>
      <c r="W21" s="176"/>
      <c r="X21" s="177"/>
    </row>
    <row r="22" spans="1:24" s="165" customFormat="1" ht="16.5" customHeight="1">
      <c r="A22" s="332">
        <f t="shared" si="3"/>
        <v>17</v>
      </c>
      <c r="B22" s="272" t="s">
        <v>255</v>
      </c>
      <c r="C22" s="285">
        <v>60</v>
      </c>
      <c r="D22" s="286">
        <f>Меню!M21</f>
        <v>18.88</v>
      </c>
      <c r="E22" s="286">
        <f>Меню!M149</f>
        <v>63</v>
      </c>
      <c r="F22" s="286">
        <f>Меню!M310</f>
        <v>0</v>
      </c>
      <c r="G22" s="286" t="e">
        <f>Меню!#REF!</f>
        <v>#REF!</v>
      </c>
      <c r="H22" s="286">
        <f>Меню!M532</f>
        <v>59.28</v>
      </c>
      <c r="I22" s="286">
        <f>Меню!M674</f>
        <v>0</v>
      </c>
      <c r="J22" s="286">
        <f>Меню!M764</f>
        <v>54</v>
      </c>
      <c r="K22" s="286">
        <f>Меню!M862</f>
        <v>0</v>
      </c>
      <c r="L22" s="286">
        <f>Меню!M975</f>
        <v>146.88</v>
      </c>
      <c r="M22" s="286">
        <f>Меню!M1060</f>
        <v>0</v>
      </c>
      <c r="N22" s="286">
        <f>Меню!M1154</f>
        <v>155</v>
      </c>
      <c r="O22" s="286">
        <f>Меню!M1278</f>
        <v>103.95</v>
      </c>
      <c r="P22" s="286">
        <f>Меню!M1374</f>
        <v>109.08000000000001</v>
      </c>
      <c r="Q22" s="286">
        <f>Меню!M1535</f>
        <v>0</v>
      </c>
      <c r="R22" s="286" t="e">
        <f t="shared" si="4"/>
        <v>#REF!</v>
      </c>
      <c r="S22" s="239" t="e">
        <f t="shared" si="1"/>
        <v>#REF!</v>
      </c>
      <c r="T22" s="331" t="e">
        <f t="shared" si="0"/>
        <v>#REF!</v>
      </c>
      <c r="U22" s="174" t="e">
        <f>S22*4.5/100</f>
        <v>#REF!</v>
      </c>
      <c r="V22" s="175" t="e">
        <f>S22*5.9/100</f>
        <v>#REF!</v>
      </c>
      <c r="W22" s="176">
        <v>0</v>
      </c>
      <c r="X22" s="177" t="e">
        <f t="shared" si="2"/>
        <v>#REF!</v>
      </c>
    </row>
    <row r="23" spans="1:24" s="165" customFormat="1" ht="16.5" customHeight="1">
      <c r="A23" s="332">
        <f t="shared" si="3"/>
        <v>18</v>
      </c>
      <c r="B23" s="272" t="s">
        <v>130</v>
      </c>
      <c r="C23" s="285">
        <v>15</v>
      </c>
      <c r="D23" s="286">
        <f>Меню!M22</f>
        <v>0</v>
      </c>
      <c r="E23" s="286">
        <f>Меню!M150</f>
        <v>87</v>
      </c>
      <c r="F23" s="286">
        <f>Меню!M311</f>
        <v>0</v>
      </c>
      <c r="G23" s="286">
        <f>Меню!M405</f>
        <v>0</v>
      </c>
      <c r="H23" s="286">
        <f>Меню!M533</f>
        <v>23</v>
      </c>
      <c r="I23" s="286">
        <f>Меню!M675</f>
        <v>0</v>
      </c>
      <c r="J23" s="286">
        <f>Меню!M765</f>
        <v>10.5</v>
      </c>
      <c r="K23" s="286">
        <f>Меню!M863</f>
        <v>0</v>
      </c>
      <c r="L23" s="286">
        <f>Меню!M976</f>
        <v>87</v>
      </c>
      <c r="M23" s="286">
        <f>Меню!M1061</f>
        <v>0</v>
      </c>
      <c r="N23" s="286">
        <f>Меню!M1155</f>
        <v>0</v>
      </c>
      <c r="O23" s="286">
        <f>Меню!M1279</f>
        <v>10.5</v>
      </c>
      <c r="P23" s="286">
        <f>Меню!M1375</f>
        <v>0</v>
      </c>
      <c r="Q23" s="286">
        <f>Меню!M1536</f>
        <v>0</v>
      </c>
      <c r="R23" s="286">
        <f t="shared" si="4"/>
        <v>218</v>
      </c>
      <c r="S23" s="239">
        <f t="shared" si="1"/>
        <v>15.571428571428571</v>
      </c>
      <c r="T23" s="331">
        <f t="shared" si="0"/>
        <v>103.80952380952381</v>
      </c>
      <c r="U23" s="174">
        <f>S23*12.1/100</f>
        <v>1.8841428571428571</v>
      </c>
      <c r="V23" s="175">
        <f>S23*19/100</f>
        <v>2.958571428571428</v>
      </c>
      <c r="W23" s="176">
        <f>S23*4.2/100</f>
        <v>0.654</v>
      </c>
      <c r="X23" s="177">
        <f t="shared" si="2"/>
        <v>36.779714285714284</v>
      </c>
    </row>
    <row r="24" spans="1:24" s="165" customFormat="1" ht="18" customHeight="1">
      <c r="A24" s="332">
        <f t="shared" si="3"/>
        <v>19</v>
      </c>
      <c r="B24" s="273" t="s">
        <v>323</v>
      </c>
      <c r="C24" s="285">
        <v>300</v>
      </c>
      <c r="D24" s="286">
        <f>Меню!M23</f>
        <v>286</v>
      </c>
      <c r="E24" s="286">
        <f>Меню!M151</f>
        <v>381</v>
      </c>
      <c r="F24" s="286">
        <f>Меню!M312</f>
        <v>242</v>
      </c>
      <c r="G24" s="286">
        <f>Меню!M406</f>
        <v>120</v>
      </c>
      <c r="H24" s="286" t="e">
        <f>Меню!M534</f>
        <v>#REF!</v>
      </c>
      <c r="I24" s="286">
        <f>Меню!M676</f>
        <v>148</v>
      </c>
      <c r="J24" s="286">
        <f>Меню!M766</f>
        <v>255</v>
      </c>
      <c r="K24" s="286">
        <f>Меню!M864</f>
        <v>260</v>
      </c>
      <c r="L24" s="286">
        <f>Меню!M977</f>
        <v>144</v>
      </c>
      <c r="M24" s="286">
        <f>Меню!M1062</f>
        <v>340</v>
      </c>
      <c r="N24" s="286">
        <f>Меню!M1156</f>
        <v>286</v>
      </c>
      <c r="O24" s="286">
        <f>Меню!M1280</f>
        <v>189</v>
      </c>
      <c r="P24" s="286">
        <f>Меню!M1376</f>
        <v>228</v>
      </c>
      <c r="Q24" s="286">
        <f>Меню!M1537</f>
        <v>137</v>
      </c>
      <c r="R24" s="286" t="e">
        <f t="shared" si="4"/>
        <v>#REF!</v>
      </c>
      <c r="S24" s="239" t="e">
        <f t="shared" si="1"/>
        <v>#REF!</v>
      </c>
      <c r="T24" s="331" t="e">
        <f t="shared" si="0"/>
        <v>#REF!</v>
      </c>
      <c r="U24" s="174" t="e">
        <f>S24*2.8/100</f>
        <v>#REF!</v>
      </c>
      <c r="V24" s="175" t="e">
        <f>S24*3.2/100</f>
        <v>#REF!</v>
      </c>
      <c r="W24" s="176" t="e">
        <f>S24*4.7/100</f>
        <v>#REF!</v>
      </c>
      <c r="X24" s="177" t="e">
        <f t="shared" si="2"/>
        <v>#REF!</v>
      </c>
    </row>
    <row r="25" spans="1:24" s="165" customFormat="1" ht="28.5" customHeight="1">
      <c r="A25" s="332">
        <f t="shared" si="3"/>
        <v>20</v>
      </c>
      <c r="B25" s="273" t="s">
        <v>324</v>
      </c>
      <c r="C25" s="285">
        <v>150</v>
      </c>
      <c r="D25" s="286">
        <f>Меню!M24</f>
        <v>154</v>
      </c>
      <c r="E25" s="286">
        <f>Меню!M152</f>
        <v>90</v>
      </c>
      <c r="F25" s="286">
        <f>Меню!M313</f>
        <v>154</v>
      </c>
      <c r="G25" s="286">
        <f>Меню!M407</f>
        <v>154</v>
      </c>
      <c r="H25" s="286">
        <f>Меню!M535</f>
        <v>154</v>
      </c>
      <c r="I25" s="286">
        <f>Меню!M677</f>
        <v>154</v>
      </c>
      <c r="J25" s="286">
        <f>Меню!M767</f>
        <v>154</v>
      </c>
      <c r="K25" s="286">
        <f>Меню!M865</f>
        <v>154</v>
      </c>
      <c r="L25" s="286">
        <f>Меню!M978</f>
        <v>154</v>
      </c>
      <c r="M25" s="286">
        <f>Меню!M1063</f>
        <v>90</v>
      </c>
      <c r="N25" s="286">
        <f>Меню!M1157</f>
        <v>154</v>
      </c>
      <c r="O25" s="286">
        <f>Меню!M1281</f>
        <v>154</v>
      </c>
      <c r="P25" s="286">
        <f>Меню!M1377</f>
        <v>154</v>
      </c>
      <c r="Q25" s="286">
        <f>Меню!M1538</f>
        <v>154</v>
      </c>
      <c r="R25" s="286">
        <f t="shared" si="4"/>
        <v>2028</v>
      </c>
      <c r="S25" s="239">
        <f t="shared" si="1"/>
        <v>144.85714285714286</v>
      </c>
      <c r="T25" s="331">
        <f t="shared" si="0"/>
        <v>96.57142857142857</v>
      </c>
      <c r="U25" s="174"/>
      <c r="V25" s="175"/>
      <c r="W25" s="176"/>
      <c r="X25" s="177"/>
    </row>
    <row r="26" spans="1:24" s="165" customFormat="1" ht="16.5" customHeight="1">
      <c r="A26" s="332">
        <f t="shared" si="3"/>
        <v>21</v>
      </c>
      <c r="B26" s="272" t="s">
        <v>325</v>
      </c>
      <c r="C26" s="285">
        <v>50</v>
      </c>
      <c r="D26" s="286">
        <f>Меню!M25</f>
        <v>69</v>
      </c>
      <c r="E26" s="286">
        <f>Меню!M153</f>
        <v>51</v>
      </c>
      <c r="F26" s="286">
        <f>Меню!M314</f>
        <v>100</v>
      </c>
      <c r="G26" s="286">
        <f>Меню!M408</f>
        <v>0</v>
      </c>
      <c r="H26" s="286">
        <f>Меню!M536</f>
        <v>51</v>
      </c>
      <c r="I26" s="286">
        <f>Меню!M678</f>
        <v>0</v>
      </c>
      <c r="J26" s="286">
        <f>Меню!M768</f>
        <v>100</v>
      </c>
      <c r="K26" s="286">
        <f>Меню!M866</f>
        <v>0</v>
      </c>
      <c r="L26" s="286">
        <f>Меню!M979</f>
        <v>100</v>
      </c>
      <c r="M26" s="286">
        <f>Меню!M1064</f>
        <v>64</v>
      </c>
      <c r="N26" s="286">
        <f>Меню!M1158</f>
        <v>100</v>
      </c>
      <c r="O26" s="286">
        <f>Меню!M1282</f>
        <v>0</v>
      </c>
      <c r="P26" s="286">
        <f>Меню!M1378</f>
        <v>0</v>
      </c>
      <c r="Q26" s="286">
        <f>Меню!M1539</f>
        <v>100</v>
      </c>
      <c r="R26" s="286">
        <f t="shared" si="4"/>
        <v>735</v>
      </c>
      <c r="S26" s="239">
        <f t="shared" si="1"/>
        <v>52.5</v>
      </c>
      <c r="T26" s="331">
        <f t="shared" si="0"/>
        <v>105</v>
      </c>
      <c r="U26" s="174">
        <f>S26*14/100</f>
        <v>7.35</v>
      </c>
      <c r="V26" s="175">
        <f>S26*9/100</f>
        <v>4.725</v>
      </c>
      <c r="W26" s="176">
        <f>S26*2.8/100</f>
        <v>1.47</v>
      </c>
      <c r="X26" s="177">
        <f t="shared" si="2"/>
        <v>77.805</v>
      </c>
    </row>
    <row r="27" spans="1:24" s="165" customFormat="1" ht="16.5" customHeight="1">
      <c r="A27" s="332">
        <f t="shared" si="3"/>
        <v>22</v>
      </c>
      <c r="B27" s="272" t="s">
        <v>326</v>
      </c>
      <c r="C27" s="285">
        <v>10</v>
      </c>
      <c r="D27" s="286">
        <f>Меню!M26</f>
        <v>10</v>
      </c>
      <c r="E27" s="286">
        <f>Меню!M154</f>
        <v>7</v>
      </c>
      <c r="F27" s="286">
        <f>Меню!M315</f>
        <v>0</v>
      </c>
      <c r="G27" s="286">
        <f>Меню!M409</f>
        <v>16</v>
      </c>
      <c r="H27" s="286">
        <f>Меню!M537</f>
        <v>6.75</v>
      </c>
      <c r="I27" s="286">
        <f>Меню!M679</f>
        <v>10</v>
      </c>
      <c r="J27" s="286">
        <f>Меню!M769</f>
        <v>10</v>
      </c>
      <c r="K27" s="286">
        <f>Меню!M867</f>
        <v>10</v>
      </c>
      <c r="L27" s="286">
        <f>Меню!M980</f>
        <v>0</v>
      </c>
      <c r="M27" s="286">
        <f>Меню!M1065</f>
        <v>15.333333333333334</v>
      </c>
      <c r="N27" s="286">
        <f>Меню!M1159</f>
        <v>26</v>
      </c>
      <c r="O27" s="286">
        <f>Меню!M1283</f>
        <v>6</v>
      </c>
      <c r="P27" s="286">
        <f>Меню!M1379</f>
        <v>15</v>
      </c>
      <c r="Q27" s="286">
        <f>Меню!M1540</f>
        <v>5</v>
      </c>
      <c r="R27" s="286">
        <f t="shared" si="4"/>
        <v>137.08333333333331</v>
      </c>
      <c r="S27" s="239">
        <f t="shared" si="1"/>
        <v>9.791666666666666</v>
      </c>
      <c r="T27" s="331">
        <f t="shared" si="0"/>
        <v>97.91666666666666</v>
      </c>
      <c r="U27" s="174">
        <f>S27*3/100</f>
        <v>0.29375</v>
      </c>
      <c r="V27" s="175">
        <f>S27*10/100</f>
        <v>0.9791666666666665</v>
      </c>
      <c r="W27" s="176">
        <f>S27*2.9/100</f>
        <v>0.2839583333333333</v>
      </c>
      <c r="X27" s="177">
        <f t="shared" si="2"/>
        <v>11.123333333333331</v>
      </c>
    </row>
    <row r="28" spans="1:24" s="165" customFormat="1" ht="16.5" customHeight="1">
      <c r="A28" s="332">
        <f t="shared" si="3"/>
        <v>23</v>
      </c>
      <c r="B28" s="272" t="s">
        <v>263</v>
      </c>
      <c r="C28" s="285">
        <v>10</v>
      </c>
      <c r="D28" s="286">
        <f>Меню!M27</f>
        <v>29</v>
      </c>
      <c r="E28" s="286">
        <f>Меню!M155</f>
        <v>0</v>
      </c>
      <c r="F28" s="286">
        <f>Меню!M316</f>
        <v>16</v>
      </c>
      <c r="G28" s="286">
        <f>Меню!M410</f>
        <v>9</v>
      </c>
      <c r="H28" s="286">
        <f>Меню!M538</f>
        <v>0</v>
      </c>
      <c r="I28" s="286">
        <f>Меню!M680</f>
        <v>16</v>
      </c>
      <c r="J28" s="286">
        <f>Меню!M770</f>
        <v>0</v>
      </c>
      <c r="K28" s="286">
        <f>Меню!M868</f>
        <v>16</v>
      </c>
      <c r="L28" s="286">
        <f>Меню!M981</f>
        <v>16</v>
      </c>
      <c r="M28" s="286">
        <f>Меню!M1066</f>
        <v>0</v>
      </c>
      <c r="N28" s="286">
        <f>Меню!M1160</f>
        <v>16</v>
      </c>
      <c r="O28" s="286">
        <f>Меню!M1284</f>
        <v>0</v>
      </c>
      <c r="P28" s="286">
        <f>Меню!M1380</f>
        <v>0</v>
      </c>
      <c r="Q28" s="286">
        <f>Меню!M1541</f>
        <v>16</v>
      </c>
      <c r="R28" s="286">
        <f t="shared" si="4"/>
        <v>134</v>
      </c>
      <c r="S28" s="239">
        <f t="shared" si="1"/>
        <v>9.571428571428571</v>
      </c>
      <c r="T28" s="331">
        <f t="shared" si="0"/>
        <v>95.71428571428571</v>
      </c>
      <c r="U28" s="174">
        <f>S28*23/100</f>
        <v>2.2014285714285715</v>
      </c>
      <c r="V28" s="175">
        <f>S28*29/100</f>
        <v>2.7757142857142854</v>
      </c>
      <c r="W28" s="176">
        <v>0</v>
      </c>
      <c r="X28" s="177">
        <f t="shared" si="2"/>
        <v>33.787142857142854</v>
      </c>
    </row>
    <row r="29" spans="1:24" s="165" customFormat="1" ht="16.5" customHeight="1">
      <c r="A29" s="332">
        <f t="shared" si="3"/>
        <v>24</v>
      </c>
      <c r="B29" s="272" t="s">
        <v>92</v>
      </c>
      <c r="C29" s="285">
        <v>30</v>
      </c>
      <c r="D29" s="286">
        <f>Меню!M28</f>
        <v>53.3</v>
      </c>
      <c r="E29" s="286">
        <f>Меню!M156</f>
        <v>37.5</v>
      </c>
      <c r="F29" s="286">
        <f>Меню!M317</f>
        <v>20.4</v>
      </c>
      <c r="G29" s="286">
        <f>Меню!M411</f>
        <v>38.5</v>
      </c>
      <c r="H29" s="286">
        <f>Меню!M539</f>
        <v>36.900000000000006</v>
      </c>
      <c r="I29" s="286">
        <f>Меню!M681</f>
        <v>20</v>
      </c>
      <c r="J29" s="286">
        <f>Меню!M771</f>
        <v>27.5</v>
      </c>
      <c r="K29" s="286">
        <f>Меню!M869</f>
        <v>29.5</v>
      </c>
      <c r="L29" s="286">
        <f>Меню!M982</f>
        <v>21.5</v>
      </c>
      <c r="M29" s="286">
        <f>Меню!M1067</f>
        <v>23</v>
      </c>
      <c r="N29" s="286">
        <f>Меню!M1161</f>
        <v>30</v>
      </c>
      <c r="O29" s="286">
        <f>Меню!M1285</f>
        <v>17.5</v>
      </c>
      <c r="P29" s="286">
        <f>Меню!M1381</f>
        <v>40.8</v>
      </c>
      <c r="Q29" s="286">
        <f>Меню!M1542</f>
        <v>22</v>
      </c>
      <c r="R29" s="286">
        <f t="shared" si="4"/>
        <v>418.40000000000003</v>
      </c>
      <c r="S29" s="239">
        <f t="shared" si="1"/>
        <v>29.88571428571429</v>
      </c>
      <c r="T29" s="331">
        <f t="shared" si="0"/>
        <v>99.61904761904763</v>
      </c>
      <c r="U29" s="174">
        <f>S29*0.8/100</f>
        <v>0.23908571428571435</v>
      </c>
      <c r="V29" s="175">
        <f>S29*72.5/100</f>
        <v>21.667142857142856</v>
      </c>
      <c r="W29" s="176">
        <f>S29*2/100</f>
        <v>0.5977142857142858</v>
      </c>
      <c r="X29" s="177">
        <f t="shared" si="2"/>
        <v>198.3514857142857</v>
      </c>
    </row>
    <row r="30" spans="1:24" s="165" customFormat="1" ht="16.5" customHeight="1">
      <c r="A30" s="332">
        <f t="shared" si="3"/>
        <v>25</v>
      </c>
      <c r="B30" s="272" t="s">
        <v>65</v>
      </c>
      <c r="C30" s="285">
        <v>15</v>
      </c>
      <c r="D30" s="286">
        <f>Меню!M29</f>
        <v>18</v>
      </c>
      <c r="E30" s="286">
        <f>Меню!M157</f>
        <v>8.5</v>
      </c>
      <c r="F30" s="286">
        <f>Меню!M318</f>
        <v>20</v>
      </c>
      <c r="G30" s="286">
        <f>Меню!M412</f>
        <v>21</v>
      </c>
      <c r="H30" s="286">
        <f>Меню!M540</f>
        <v>15.6</v>
      </c>
      <c r="I30" s="286">
        <f>Меню!M682</f>
        <v>18</v>
      </c>
      <c r="J30" s="286">
        <f>Меню!M772</f>
        <v>4</v>
      </c>
      <c r="K30" s="286">
        <f>Меню!M870</f>
        <v>10</v>
      </c>
      <c r="L30" s="286">
        <f>Меню!M983</f>
        <v>4</v>
      </c>
      <c r="M30" s="286">
        <f>Меню!M1068</f>
        <v>15</v>
      </c>
      <c r="N30" s="286" t="e">
        <f>Меню!M1162</f>
        <v>#REF!</v>
      </c>
      <c r="O30" s="286">
        <f>Меню!M1286</f>
        <v>20</v>
      </c>
      <c r="P30" s="286">
        <f>Меню!M1382</f>
        <v>20</v>
      </c>
      <c r="Q30" s="286">
        <f>Меню!M1543</f>
        <v>15</v>
      </c>
      <c r="R30" s="286" t="e">
        <f t="shared" si="4"/>
        <v>#REF!</v>
      </c>
      <c r="S30" s="239" t="e">
        <f t="shared" si="1"/>
        <v>#REF!</v>
      </c>
      <c r="T30" s="331" t="e">
        <f t="shared" si="0"/>
        <v>#REF!</v>
      </c>
      <c r="U30" s="174">
        <v>0</v>
      </c>
      <c r="V30" s="175" t="e">
        <f>S30*99.9/100</f>
        <v>#REF!</v>
      </c>
      <c r="W30" s="176">
        <v>0</v>
      </c>
      <c r="X30" s="177" t="e">
        <f t="shared" si="2"/>
        <v>#REF!</v>
      </c>
    </row>
    <row r="31" spans="1:24" s="165" customFormat="1" ht="16.5" customHeight="1">
      <c r="A31" s="332">
        <f t="shared" si="3"/>
        <v>26</v>
      </c>
      <c r="B31" s="272" t="s">
        <v>329</v>
      </c>
      <c r="C31" s="285">
        <v>40</v>
      </c>
      <c r="D31" s="286">
        <f>Меню!M30</f>
        <v>76.33333333333334</v>
      </c>
      <c r="E31" s="286">
        <f>Меню!M158</f>
        <v>18</v>
      </c>
      <c r="F31" s="286">
        <f>Меню!M319</f>
        <v>40</v>
      </c>
      <c r="G31" s="286">
        <f>Меню!M413</f>
        <v>53.84615384615385</v>
      </c>
      <c r="H31" s="286">
        <f>Меню!M541</f>
        <v>23</v>
      </c>
      <c r="I31" s="286">
        <f>Меню!M683</f>
        <v>40</v>
      </c>
      <c r="J31" s="286">
        <f>Меню!M773</f>
        <v>0</v>
      </c>
      <c r="K31" s="286">
        <f>Меню!M871</f>
        <v>2</v>
      </c>
      <c r="L31" s="286">
        <f>Меню!M984</f>
        <v>53.333333333333336</v>
      </c>
      <c r="M31" s="286">
        <f>Меню!M1069</f>
        <v>2</v>
      </c>
      <c r="N31" s="286">
        <f>Меню!M1163</f>
        <v>24.8</v>
      </c>
      <c r="O31" s="286">
        <f>Меню!M1287</f>
        <v>96.93333333333334</v>
      </c>
      <c r="P31" s="286">
        <f>Меню!M1383</f>
        <v>8</v>
      </c>
      <c r="Q31" s="286">
        <f>Меню!M1544</f>
        <v>44.5</v>
      </c>
      <c r="R31" s="286">
        <f t="shared" si="4"/>
        <v>482.74615384615385</v>
      </c>
      <c r="S31" s="239">
        <f t="shared" si="1"/>
        <v>34.48186813186813</v>
      </c>
      <c r="T31" s="331">
        <f t="shared" si="0"/>
        <v>86.20467032967034</v>
      </c>
      <c r="U31" s="235">
        <f>S31*12.7/100</f>
        <v>4.379197252747252</v>
      </c>
      <c r="V31" s="236">
        <f>S31*11.5/100</f>
        <v>3.9654148351648355</v>
      </c>
      <c r="W31" s="237">
        <f>S31*0.7/100</f>
        <v>0.2413730769230769</v>
      </c>
      <c r="X31" s="238">
        <f t="shared" si="2"/>
        <v>54.17101483516483</v>
      </c>
    </row>
    <row r="32" spans="1:24" s="165" customFormat="1" ht="16.5" customHeight="1">
      <c r="A32" s="332">
        <f t="shared" si="3"/>
        <v>27</v>
      </c>
      <c r="B32" s="272" t="s">
        <v>218</v>
      </c>
      <c r="C32" s="285">
        <v>1</v>
      </c>
      <c r="D32" s="289">
        <f>Меню!M32</f>
        <v>0</v>
      </c>
      <c r="E32" s="289">
        <f>Меню!M160</f>
        <v>0.36</v>
      </c>
      <c r="F32" s="289">
        <f>Меню!M321</f>
        <v>0</v>
      </c>
      <c r="G32" s="289">
        <f>Меню!M415</f>
        <v>0</v>
      </c>
      <c r="H32" s="289">
        <f>Меню!M543</f>
        <v>0.7</v>
      </c>
      <c r="I32" s="289">
        <f>Меню!M685</f>
        <v>0</v>
      </c>
      <c r="J32" s="289">
        <f>Меню!M775</f>
        <v>0</v>
      </c>
      <c r="K32" s="289">
        <f>Меню!M873</f>
        <v>0</v>
      </c>
      <c r="L32" s="289">
        <f>Меню!M986</f>
        <v>0</v>
      </c>
      <c r="M32" s="289">
        <f>Меню!M1071</f>
        <v>0</v>
      </c>
      <c r="N32" s="289">
        <f>Меню!M1165</f>
        <v>0</v>
      </c>
      <c r="O32" s="289">
        <f>Меню!M1289</f>
        <v>0</v>
      </c>
      <c r="P32" s="289">
        <f>Меню!M1385</f>
        <v>0</v>
      </c>
      <c r="Q32" s="289">
        <f>Меню!M1546</f>
        <v>0</v>
      </c>
      <c r="R32" s="286">
        <f t="shared" si="4"/>
        <v>1.06</v>
      </c>
      <c r="S32" s="239">
        <f t="shared" si="1"/>
        <v>0.07571428571428572</v>
      </c>
      <c r="T32" s="331">
        <f t="shared" si="0"/>
        <v>7.571428571428572</v>
      </c>
      <c r="U32" s="174"/>
      <c r="V32" s="175"/>
      <c r="W32" s="175"/>
      <c r="X32" s="239"/>
    </row>
    <row r="33" spans="1:24" s="165" customFormat="1" ht="16.5" customHeight="1" thickBot="1">
      <c r="A33" s="332">
        <f t="shared" si="3"/>
        <v>28</v>
      </c>
      <c r="B33" s="333" t="s">
        <v>328</v>
      </c>
      <c r="C33" s="406">
        <v>5</v>
      </c>
      <c r="D33" s="334">
        <v>5</v>
      </c>
      <c r="E33" s="334">
        <v>5</v>
      </c>
      <c r="F33" s="334">
        <v>5</v>
      </c>
      <c r="G33" s="334">
        <v>5</v>
      </c>
      <c r="H33" s="334">
        <v>5</v>
      </c>
      <c r="I33" s="334">
        <v>5</v>
      </c>
      <c r="J33" s="334">
        <v>5</v>
      </c>
      <c r="K33" s="334">
        <v>5</v>
      </c>
      <c r="L33" s="334">
        <v>5</v>
      </c>
      <c r="M33" s="334">
        <v>5</v>
      </c>
      <c r="N33" s="334">
        <v>5</v>
      </c>
      <c r="O33" s="334">
        <v>5</v>
      </c>
      <c r="P33" s="334">
        <v>5</v>
      </c>
      <c r="Q33" s="334">
        <v>5</v>
      </c>
      <c r="R33" s="334">
        <f t="shared" si="4"/>
        <v>70</v>
      </c>
      <c r="S33" s="335">
        <f t="shared" si="1"/>
        <v>5</v>
      </c>
      <c r="T33" s="336">
        <f t="shared" si="0"/>
        <v>100</v>
      </c>
      <c r="U33" s="174"/>
      <c r="V33" s="175"/>
      <c r="W33" s="175"/>
      <c r="X33" s="239"/>
    </row>
    <row r="34" spans="1:24" ht="30.75" customHeight="1">
      <c r="A34" s="541" t="s">
        <v>527</v>
      </c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</row>
    <row r="35" spans="1:23" ht="12.75">
      <c r="A35" s="540" t="s">
        <v>199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</row>
    <row r="36" spans="1:24" ht="12.75" customHeight="1">
      <c r="A36" s="539" t="s">
        <v>264</v>
      </c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39"/>
      <c r="V36" s="539"/>
      <c r="W36" s="539"/>
      <c r="X36" s="539"/>
    </row>
    <row r="37" spans="2:24" ht="12.7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</row>
    <row r="38" spans="2:43" ht="12.7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</row>
    <row r="39" spans="2:43" ht="12.7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</row>
    <row r="40" spans="2:43" ht="12.7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</row>
    <row r="41" spans="2:43" ht="12.7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</row>
    <row r="42" spans="2:43" ht="12.7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</row>
    <row r="43" spans="2:43" ht="12.7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</row>
    <row r="44" spans="2:43" ht="12.75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</row>
    <row r="45" spans="2:43" ht="12.7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</row>
    <row r="46" spans="2:43" ht="12.7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</row>
    <row r="47" spans="2:43" ht="12.7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</row>
    <row r="48" spans="2:43" ht="12.7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</row>
    <row r="49" spans="2:43" ht="12.7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</row>
    <row r="50" spans="2:43" ht="12.7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</row>
    <row r="51" spans="2:43" ht="12.7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</row>
    <row r="52" spans="2:43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</row>
    <row r="53" spans="2:43" ht="12.75"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</row>
    <row r="54" spans="2:43" ht="12.75"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</row>
    <row r="55" spans="2:43" ht="12.75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</row>
    <row r="56" spans="2:43" ht="12.75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</row>
    <row r="57" spans="2:43" ht="12.75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</row>
    <row r="58" spans="2:43" ht="12.75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</row>
    <row r="59" spans="2:43" ht="12.75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</row>
    <row r="60" spans="2:43" ht="12.7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</row>
    <row r="61" spans="2:43" ht="12.75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</row>
    <row r="62" spans="2:43" ht="12.75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</row>
    <row r="63" spans="2:43" ht="12.75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</row>
    <row r="64" spans="2:43" ht="12.75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</row>
    <row r="65" spans="2:43" ht="12.75"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</row>
    <row r="66" spans="2:43" ht="12.75"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</row>
    <row r="67" spans="2:43" ht="12.75"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</row>
    <row r="68" spans="2:43" ht="12.75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</row>
    <row r="69" spans="2:58" ht="12.75"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</row>
    <row r="70" spans="2:58" ht="12.75"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</row>
    <row r="71" spans="2:58" ht="12.75"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</row>
    <row r="72" spans="2:58" ht="12.75"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</row>
    <row r="73" spans="2:58" ht="12.75"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</row>
    <row r="74" spans="2:58" ht="12.75"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</row>
    <row r="75" spans="2:58" ht="12.75"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</row>
    <row r="76" spans="2:58" ht="12.75"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</row>
    <row r="77" spans="2:58" ht="12.75"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</row>
    <row r="78" spans="2:58" ht="12.75"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</row>
    <row r="79" spans="2:43" ht="12.75"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</row>
    <row r="80" spans="2:43" ht="12.75"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</row>
    <row r="81" spans="2:43" ht="12.75"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</row>
    <row r="82" spans="2:43" ht="14.25" customHeight="1"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</row>
    <row r="83" spans="2:43" ht="12.75"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</row>
    <row r="84" spans="2:43" ht="12.75"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</row>
    <row r="85" spans="2:43" ht="12.75"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</row>
    <row r="86" spans="2:43" ht="12.75"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</row>
    <row r="87" spans="2:43" ht="12.75"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</row>
    <row r="88" spans="2:43" ht="12.75"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</row>
    <row r="89" spans="2:43" ht="12.75"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</row>
    <row r="90" spans="2:43" ht="12.75"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</row>
    <row r="91" spans="2:43" ht="12.75"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</row>
    <row r="92" spans="2:43" ht="12.75"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</row>
    <row r="93" spans="2:43" ht="12.75"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</row>
    <row r="94" spans="2:43" ht="12.75"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</row>
    <row r="95" spans="2:43" ht="12.75"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</row>
    <row r="96" spans="2:43" ht="12.75"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</row>
    <row r="97" spans="2:43" ht="12.75"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</row>
    <row r="98" spans="2:43" ht="12.75"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</row>
    <row r="99" spans="2:43" ht="12.75"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</row>
    <row r="100" spans="2:43" ht="12.75"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</row>
    <row r="101" spans="2:43" ht="12.75"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</row>
    <row r="102" spans="2:43" ht="12.75"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</row>
    <row r="103" spans="2:43" ht="12.75"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</row>
    <row r="104" spans="2:43" ht="12.75"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</row>
    <row r="105" spans="2:43" ht="12.75"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</row>
    <row r="106" spans="2:43" ht="12.75"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</row>
    <row r="107" spans="2:43" ht="12.75"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</row>
    <row r="108" spans="2:43" ht="12.75"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</row>
    <row r="109" spans="2:43" ht="12.75"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</row>
    <row r="110" spans="2:43" ht="12.75"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</row>
    <row r="111" spans="2:43" ht="12.75"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</row>
    <row r="112" spans="2:43" ht="12.75"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</row>
    <row r="113" spans="2:43" ht="12.75"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</row>
    <row r="114" spans="2:43" ht="12.75"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</row>
    <row r="115" spans="2:43" ht="12.75"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</row>
    <row r="116" spans="2:43" ht="12.75"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</row>
    <row r="117" spans="2:43" ht="12.75"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</row>
    <row r="118" spans="2:43" ht="12.75"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</row>
    <row r="119" spans="2:43" ht="12.75"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</row>
    <row r="120" spans="2:43" ht="12.75"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</row>
    <row r="121" spans="2:43" ht="12.75"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</row>
    <row r="122" spans="2:43" ht="12.75"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</row>
    <row r="123" spans="2:43" ht="12.75"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</row>
    <row r="124" spans="2:43" ht="12.75"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</row>
    <row r="125" spans="2:43" ht="12.75"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</row>
    <row r="126" spans="2:43" ht="12.75"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</row>
    <row r="127" spans="2:43" ht="12.75"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</row>
    <row r="128" spans="2:43" ht="12.75"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</row>
    <row r="129" spans="2:43" ht="12.75"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</row>
    <row r="130" spans="2:43" ht="12.75"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</row>
    <row r="131" spans="2:43" ht="12.75"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</row>
    <row r="132" spans="2:43" ht="12.75"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</row>
    <row r="133" spans="2:43" ht="12.75"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</row>
    <row r="134" spans="2:43" ht="12.75"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</row>
    <row r="135" spans="2:43" ht="12.75"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</row>
    <row r="136" spans="2:43" ht="12.75"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</row>
    <row r="137" spans="2:43" ht="12.75"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</row>
    <row r="138" spans="2:43" ht="12.75"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</row>
    <row r="139" spans="2:43" ht="12.75"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</row>
    <row r="140" spans="2:43" ht="12.75"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</row>
    <row r="141" spans="2:43" ht="12.75"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</row>
    <row r="142" spans="2:43" ht="12.75"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</row>
    <row r="143" spans="2:43" ht="12.75"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</row>
    <row r="144" spans="2:43" ht="12.75"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</row>
    <row r="145" spans="2:43" ht="12.75"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</row>
    <row r="146" spans="2:43" ht="12.75"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</row>
    <row r="147" spans="2:43" ht="12.75"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</row>
    <row r="148" spans="2:43" ht="12.75"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</row>
    <row r="149" spans="2:43" ht="12.75">
      <c r="B149" s="198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</row>
    <row r="150" spans="2:43" ht="12.75"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</row>
    <row r="151" spans="2:43" ht="12.75"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</row>
    <row r="152" spans="2:43" ht="12.75"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</row>
    <row r="153" spans="2:43" ht="12.75">
      <c r="B153" s="198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</row>
    <row r="154" spans="2:43" ht="12.75"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</row>
    <row r="155" spans="2:43" ht="12.75"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</row>
    <row r="156" spans="2:43" ht="12.75"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</row>
    <row r="157" spans="2:43" ht="12.75"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</row>
    <row r="158" spans="2:43" ht="12.75"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</row>
    <row r="159" spans="2:43" ht="12.75"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</row>
    <row r="160" spans="2:43" ht="12.75"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</row>
    <row r="161" spans="2:43" ht="12.75"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</row>
    <row r="162" spans="2:43" ht="12.75"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</row>
    <row r="163" spans="2:43" ht="12.75"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</row>
    <row r="164" spans="2:43" ht="12.75"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</row>
    <row r="165" spans="2:43" ht="12.75"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</row>
    <row r="166" spans="2:43" ht="12.75"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</row>
    <row r="167" spans="2:43" ht="12.75"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</row>
    <row r="168" spans="2:43" ht="12.75"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</row>
    <row r="169" spans="2:43" ht="12.75"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</row>
    <row r="170" spans="2:43" ht="12.75"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</row>
    <row r="171" spans="2:43" ht="12.75"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</row>
    <row r="172" spans="2:43" ht="12.75"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</row>
    <row r="173" spans="2:43" ht="12.75"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</row>
    <row r="174" spans="2:43" ht="12.75"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</row>
    <row r="175" spans="2:43" ht="12.75"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</row>
    <row r="176" spans="2:43" ht="12.75"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</row>
    <row r="177" spans="2:43" ht="12.75"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</row>
    <row r="178" spans="2:43" ht="12.75"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</row>
    <row r="179" spans="2:43" ht="12.75"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</row>
    <row r="180" spans="2:43" ht="12.75"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</row>
    <row r="181" spans="25:43" ht="12.75"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</row>
  </sheetData>
  <sheetProtection password="CF7A" sheet="1"/>
  <mergeCells count="17">
    <mergeCell ref="A36:X36"/>
    <mergeCell ref="A35:W35"/>
    <mergeCell ref="A34:X34"/>
    <mergeCell ref="A3:A5"/>
    <mergeCell ref="B3:B5"/>
    <mergeCell ref="D3:Q3"/>
    <mergeCell ref="R3:R5"/>
    <mergeCell ref="S3:S5"/>
    <mergeCell ref="U3:W3"/>
    <mergeCell ref="C3:C5"/>
    <mergeCell ref="D4:Q4"/>
    <mergeCell ref="A1:X1"/>
    <mergeCell ref="V4:V5"/>
    <mergeCell ref="W4:W5"/>
    <mergeCell ref="X3:X5"/>
    <mergeCell ref="U4:U5"/>
    <mergeCell ref="T3:T5"/>
  </mergeCells>
  <printOptions horizontalCentered="1"/>
  <pageMargins left="0" right="0" top="0" bottom="0" header="0.31496062992125984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zoomScalePageLayoutView="0" workbookViewId="0" topLeftCell="A1">
      <selection activeCell="A18" sqref="A18:IV18"/>
    </sheetView>
  </sheetViews>
  <sheetFormatPr defaultColWidth="9.00390625" defaultRowHeight="12.75"/>
  <cols>
    <col min="1" max="1" width="12.875" style="423" customWidth="1"/>
    <col min="2" max="2" width="13.875" style="423" customWidth="1"/>
    <col min="3" max="3" width="13.625" style="423" customWidth="1"/>
    <col min="4" max="4" width="13.375" style="423" customWidth="1"/>
    <col min="5" max="5" width="12.875" style="423" customWidth="1"/>
    <col min="6" max="6" width="13.75390625" style="423" customWidth="1"/>
    <col min="7" max="7" width="14.125" style="423" customWidth="1"/>
    <col min="8" max="8" width="13.75390625" style="423" customWidth="1"/>
    <col min="9" max="9" width="12.875" style="423" customWidth="1"/>
    <col min="10" max="10" width="11.875" style="423" customWidth="1"/>
    <col min="11" max="11" width="14.00390625" style="423" customWidth="1"/>
    <col min="12" max="12" width="13.875" style="423" customWidth="1"/>
    <col min="13" max="13" width="12.875" style="423" customWidth="1"/>
    <col min="14" max="14" width="11.375" style="423" customWidth="1"/>
    <col min="15" max="16384" width="9.125" style="165" customWidth="1"/>
  </cols>
  <sheetData>
    <row r="1" spans="1:14" ht="18">
      <c r="A1" s="358">
        <v>1</v>
      </c>
      <c r="B1" s="358">
        <v>2</v>
      </c>
      <c r="C1" s="358">
        <v>3</v>
      </c>
      <c r="D1" s="358">
        <v>4</v>
      </c>
      <c r="E1" s="358">
        <v>5</v>
      </c>
      <c r="F1" s="358">
        <v>6</v>
      </c>
      <c r="G1" s="358">
        <v>7</v>
      </c>
      <c r="H1" s="358">
        <v>8</v>
      </c>
      <c r="I1" s="358">
        <v>9</v>
      </c>
      <c r="J1" s="358">
        <v>10</v>
      </c>
      <c r="K1" s="358">
        <v>11</v>
      </c>
      <c r="L1" s="358">
        <v>12</v>
      </c>
      <c r="M1" s="358">
        <v>13</v>
      </c>
      <c r="N1" s="358">
        <v>14</v>
      </c>
    </row>
    <row r="2" spans="1:14" ht="12.75">
      <c r="A2" s="549" t="s">
        <v>154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1"/>
    </row>
    <row r="3" spans="1:14" ht="36.75" customHeight="1">
      <c r="A3" s="359" t="str">
        <f>Меню!A9</f>
        <v>Каша кукурузная жидкая с маслом</v>
      </c>
      <c r="B3" s="359" t="str">
        <f>Меню!A134</f>
        <v>Пудинг из творога с молоком сгущенным</v>
      </c>
      <c r="C3" s="359" t="str">
        <f>Меню!A298</f>
        <v>Каша "Дружба" с маслом</v>
      </c>
      <c r="D3" s="359" t="str">
        <f>Меню!A393</f>
        <v>Омлет с сыром, с маслом с подгарнировкой</v>
      </c>
      <c r="E3" s="359" t="str">
        <f>Меню!A535</f>
        <v>Запеканка творожная с яблоками с молоком сгущенным</v>
      </c>
      <c r="F3" s="359" t="str">
        <f>Меню!A665</f>
        <v>Каша манная  с изюмом с маслом</v>
      </c>
      <c r="G3" s="359" t="str">
        <f>Меню!A758</f>
        <v>Суп молочный с макаронными изделиями</v>
      </c>
      <c r="H3" s="359" t="str">
        <f>Меню!A856</f>
        <v>Каша "Янтарная" (из пшена с яблоками) с маслом </v>
      </c>
      <c r="I3" s="359" t="str">
        <f>Меню!A965</f>
        <v>Омлет натуральный с маслом</v>
      </c>
      <c r="J3" s="359" t="str">
        <f>Меню!A1049</f>
        <v>Запеканка творожная с молоком сгущенным</v>
      </c>
      <c r="K3" s="359" t="str">
        <f>Меню!A1145</f>
        <v>Каша "Ароматная" с маслом</v>
      </c>
      <c r="L3" s="359" t="str">
        <f>Меню!A1267</f>
        <v>Каша пшеничная с маслом</v>
      </c>
      <c r="M3" s="359" t="str">
        <f>Меню!A1370</f>
        <v>Суп молочный с крупой </v>
      </c>
      <c r="N3" s="359" t="str">
        <f>Меню!A1518</f>
        <v>Каша "Геркулес" с маслом</v>
      </c>
    </row>
    <row r="4" spans="1:14" ht="38.25" customHeight="1">
      <c r="A4" s="359" t="str">
        <f>Меню!A21</f>
        <v>Бутерброд с маслом с сыром</v>
      </c>
      <c r="B4" s="359" t="str">
        <f>Меню!A158</f>
        <v>Бутерброд с маслом</v>
      </c>
      <c r="C4" s="359" t="str">
        <f>Меню!A306</f>
        <v>Бутерброд с сыром</v>
      </c>
      <c r="D4" s="359" t="str">
        <f>Меню!A402</f>
        <v>Бутерброд с  маслом сливочным</v>
      </c>
      <c r="E4" s="359" t="str">
        <f>Меню!A554</f>
        <v>Бутерброд с маслом</v>
      </c>
      <c r="F4" s="359" t="str">
        <f>Меню!A673</f>
        <v>Бутерброд с сыром</v>
      </c>
      <c r="G4" s="359" t="str">
        <f>Меню!A764</f>
        <v>Бутерброд с колбасой и помидором свежим</v>
      </c>
      <c r="H4" s="359" t="str">
        <f>Меню!A863</f>
        <v>Бутерброд с маслом с сыром</v>
      </c>
      <c r="I4" s="359" t="str">
        <f>Меню!A970</f>
        <v>Бутерброд с сыром</v>
      </c>
      <c r="J4" s="359" t="str">
        <f>Меню!A1060</f>
        <v>Бутерброд с маслом</v>
      </c>
      <c r="K4" s="359" t="str">
        <f>Меню!A1154</f>
        <v>Бутерброд с маслом с сыром</v>
      </c>
      <c r="L4" s="359" t="str">
        <f>Меню!A1278</f>
        <v>Бутерброд с колбасой и помидором свежим</v>
      </c>
      <c r="M4" s="359" t="str">
        <f>Меню!A1377</f>
        <v>Бутерброд с маслом</v>
      </c>
      <c r="N4" s="359" t="str">
        <f>Меню!A1525</f>
        <v>Бутерброд горячий </v>
      </c>
    </row>
    <row r="5" spans="1:14" ht="46.5" customHeight="1">
      <c r="A5" s="359" t="str">
        <f>Меню!A16</f>
        <v>Омлет натуральный с маслом</v>
      </c>
      <c r="B5" s="359" t="str">
        <f>Меню!A165</f>
        <v>Йогурт или кисломолочная продукция с добавлением лакто и бифидобактерий в упаковке</v>
      </c>
      <c r="C5" s="359" t="str">
        <f>Меню!A313</f>
        <v>Творожный продукт для детского питания из натуральных компонентов промышленного производства в индивидуальной упаковке ("Агуша" или "Тема" и т.д.)</v>
      </c>
      <c r="D5" s="359"/>
      <c r="E5" s="359" t="str">
        <f>Меню!A547</f>
        <v>Суп молочный с крупой </v>
      </c>
      <c r="F5" s="359" t="str">
        <f>Меню!A676</f>
        <v>Яйцо отварное</v>
      </c>
      <c r="G5" s="359" t="str">
        <f>Меню!A769</f>
        <v>Творожный продукт для детского питания из натуральных компонентов промышленного производства в индивидуальной упаковке ("Агуша" или "Тема" и т.д.)</v>
      </c>
      <c r="H5" s="359"/>
      <c r="I5" s="359" t="str">
        <f>Меню!A973</f>
        <v>Творожный продукт для детского питания из натуральных компонентов промышленного производства в индивидуальной упаковке ("Агуша" или "Тема" и т.д.)</v>
      </c>
      <c r="J5" s="359"/>
      <c r="K5" s="359" t="str">
        <f>Меню!A1162</f>
        <v>Творожный продукт для детского питания из натуральных компонентов промышленного производства в индивидуальной упаковке ("Агуша" или "Тема" и т.д.)</v>
      </c>
      <c r="L5" s="359" t="str">
        <f>Меню!A1274</f>
        <v>Омлет натуральный </v>
      </c>
      <c r="M5" s="359" t="str">
        <f>Меню!A1380</f>
        <v>Пирог "Зебра"</v>
      </c>
      <c r="N5" s="359" t="str">
        <f>Меню!A1532</f>
        <v>Творожный продукт для детского питания из натуральных компонентов промышленного производства в индивидуальной упаковке ("Агуша" или "Тема" и т.д.)</v>
      </c>
    </row>
    <row r="6" spans="1:14" ht="46.5" customHeight="1">
      <c r="A6" s="359" t="str">
        <f>Меню!A25</f>
        <v>Цикорий с молоком</v>
      </c>
      <c r="B6" s="359" t="str">
        <f>Меню!A161</f>
        <v>Кофейный напиток</v>
      </c>
      <c r="C6" s="359" t="str">
        <f>Меню!A309</f>
        <v>Какао с молоком</v>
      </c>
      <c r="D6" s="359" t="str">
        <f>Меню!A405</f>
        <v>Цикорий с молоком</v>
      </c>
      <c r="E6" s="359" t="str">
        <f>Меню!A557</f>
        <v>Кофейный напиток</v>
      </c>
      <c r="F6" s="359" t="str">
        <f>Меню!A677</f>
        <v>Чай с мёдом</v>
      </c>
      <c r="G6" s="359" t="str">
        <f>Меню!A770</f>
        <v>Какао с молоком</v>
      </c>
      <c r="H6" s="359" t="str">
        <f>Меню!A867</f>
        <v>Чай с лимоном</v>
      </c>
      <c r="I6" s="359" t="str">
        <f>Меню!A974</f>
        <v>Кофейный напиток</v>
      </c>
      <c r="J6" s="359" t="str">
        <f>Меню!A1063</f>
        <v>Цикорий с молоком</v>
      </c>
      <c r="K6" s="359" t="str">
        <f>Меню!A1158</f>
        <v>Какао с молоком</v>
      </c>
      <c r="L6" s="359" t="str">
        <f>Меню!A1283</f>
        <v>Чай с лимоном</v>
      </c>
      <c r="M6" s="359" t="str">
        <f>Меню!A1390</f>
        <v>Кофейный напиток</v>
      </c>
      <c r="N6" s="359" t="str">
        <f>Меню!A1533</f>
        <v>Чай с молоком</v>
      </c>
    </row>
    <row r="7" spans="1:14" ht="12.75">
      <c r="A7" s="552" t="s">
        <v>155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4"/>
    </row>
    <row r="8" spans="1:14" ht="49.5" customHeight="1">
      <c r="A8" s="359" t="str">
        <f>Меню!A30</f>
        <v>Фрукт (бананы, апельсины, мандарины,  яблоки, груши, киви, персики, абрикосы, сливы, черешня и т.д.)</v>
      </c>
      <c r="B8" s="359" t="str">
        <f>Меню!A168</f>
        <v>Фрукт (бананы, апельсины, мандарины,  яблоки, груши, киви, персики, абрикосы, сливы, черешня и т.д.)</v>
      </c>
      <c r="C8" s="359" t="str">
        <f>Меню!A315</f>
        <v>Фрукт (бананы, апельсины, мандарины,  яблоки, груши, киви, персики, абрикосы, сливы, черешня и т.д.)</v>
      </c>
      <c r="D8" s="359" t="str">
        <f>Меню!A411</f>
        <v>Фрукт (бананы, апельсины, мандарины,  яблоки, груши, киви, персики, абрикосы, сливы, черешня и т.д.)</v>
      </c>
      <c r="E8" s="359" t="str">
        <f>Меню!A563</f>
        <v>Фрукт (бананы, апельсины, мандарины,  яблоки, груши, киви, персики, абрикосы, сливы, черешня и т.д.)</v>
      </c>
      <c r="F8" s="359" t="str">
        <f>Меню!A681</f>
        <v>Фрукт (бананы, апельсины, мандарины,  яблоки, груши, киви, персики, абрикосы, сливы, черешня и т.д.)</v>
      </c>
      <c r="G8" s="359" t="str">
        <f>Меню!A776</f>
        <v>Фрукт (бананы, апельсины, мандарины,  яблоки, груши, киви, персики, абрикосы, сливы, черешня и т.д.)</v>
      </c>
      <c r="H8" s="359" t="str">
        <f>Меню!A872</f>
        <v>Фрукт (бананы, апельсины, мандарины,  яблоки, груши, киви, персики, абрикосы, сливы, черешня и т.д.)</v>
      </c>
      <c r="I8" s="359" t="str">
        <f>Меню!A872</f>
        <v>Фрукт (бананы, апельсины, мандарины,  яблоки, груши, киви, персики, абрикосы, сливы, черешня и т.д.)</v>
      </c>
      <c r="J8" s="359" t="str">
        <f>Меню!A1068</f>
        <v>Фрукт (бананы, апельсины, мандарины,  яблоки, груши, киви, персики, абрикосы, сливы, черешня и т.д.)</v>
      </c>
      <c r="K8" s="359" t="str">
        <f>Меню!A1164</f>
        <v>Фрукт (бананы, апельсины, мандарины,  яблоки, груши, киви, персики, абрикосы, сливы, черешня и т.д.)</v>
      </c>
      <c r="L8" s="359" t="str">
        <f>Меню!A1288</f>
        <v>Фрукт (бананы, апельсины, мандарины,  яблоки, груши, киви, персики, абрикосы, сливы, черешня и т.д.)</v>
      </c>
      <c r="M8" s="359" t="str">
        <f>Меню!A1395</f>
        <v>Фрукт (бананы, апельсины, мандарины,  яблоки, груши, киви, персики, абрикосы, сливы, черешня и т.д.)</v>
      </c>
      <c r="N8" s="359" t="str">
        <f>Меню!A1538</f>
        <v>Фрукт (бананы, апельсины, мандарины,  яблоки, груши, киви, персики, абрикосы, сливы, черешня и т.д.)</v>
      </c>
    </row>
    <row r="9" spans="1:14" ht="12.75">
      <c r="A9" s="549" t="s">
        <v>156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1"/>
    </row>
    <row r="10" spans="1:14" ht="49.5" customHeight="1">
      <c r="A10" s="359" t="str">
        <f>Меню!A32</f>
        <v>Салат из свежих помидор и огурцов</v>
      </c>
      <c r="B10" s="359" t="str">
        <f>Меню!A170</f>
        <v>Салат из свежих помидоров </v>
      </c>
      <c r="C10" s="359" t="str">
        <f>Меню!A317</f>
        <v>Салат "Аппетитный"</v>
      </c>
      <c r="D10" s="359" t="str">
        <f>Меню!A413</f>
        <v>Салат Зеленый</v>
      </c>
      <c r="E10" s="359" t="str">
        <f>Меню!A565</f>
        <v>Салат из перца и огурца свежего с маслом</v>
      </c>
      <c r="F10" s="359" t="str">
        <f>Меню!A683</f>
        <v>Салат из свежих огурцов </v>
      </c>
      <c r="G10" s="359" t="str">
        <f>Меню!A778</f>
        <v>Помидоры свежие с зеленным горошком</v>
      </c>
      <c r="H10" s="359" t="str">
        <f>Меню!A874</f>
        <v>Нарезка из помидоров и огурцов свежих</v>
      </c>
      <c r="I10" s="359" t="str">
        <f>Меню!A982</f>
        <v>Салат из свежих помидоров </v>
      </c>
      <c r="J10" s="359" t="str">
        <f>Меню!A1070</f>
        <v>Салат "Венгерский"</v>
      </c>
      <c r="K10" s="359" t="str">
        <f>Меню!A1167</f>
        <v>Салат Степной </v>
      </c>
      <c r="L10" s="359" t="str">
        <f>Меню!A1290</f>
        <v>Салат из свежих огурцов с зеленым луком </v>
      </c>
      <c r="M10" s="359" t="str">
        <f>Меню!A1397</f>
        <v>Салат из белокочанной капусты с огурцом</v>
      </c>
      <c r="N10" s="359" t="str">
        <f>Меню!A1540</f>
        <v>Салат "Полезный"</v>
      </c>
    </row>
    <row r="11" spans="1:14" ht="59.25" customHeight="1">
      <c r="A11" s="359" t="str">
        <f>Меню!A40</f>
        <v>Суп картофельный с  бобовыми с мясом с гренками </v>
      </c>
      <c r="B11" s="359" t="str">
        <f>Меню!A174</f>
        <v>Борщ с капустой и картофелем с курицей  со сметаной с зеленью</v>
      </c>
      <c r="C11" s="359" t="str">
        <f>Меню!A325</f>
        <v>Суп - лапша домашняя с курицей </v>
      </c>
      <c r="D11" s="359" t="str">
        <f>Меню!A418</f>
        <v>Щи из свежей капусты с картофелем с мясом со сметаной с зеленью</v>
      </c>
      <c r="E11" s="359" t="str">
        <f>Меню!A570</f>
        <v>Солянка домашняя со сметаной с зеленью</v>
      </c>
      <c r="F11" s="359" t="str">
        <f>Меню!A688</f>
        <v>Рассольник с мясом со сметаной с зеленью</v>
      </c>
      <c r="G11" s="359" t="str">
        <f>Меню!A784</f>
        <v>Уха рыбацкая с зеленью</v>
      </c>
      <c r="H11" s="359" t="str">
        <f>Меню!A879</f>
        <v>Суп из овощей  с мясными фрикадельками с зеленью</v>
      </c>
      <c r="I11" s="359" t="str">
        <f>Меню!A986</f>
        <v>Суп картофельный с  бобовыми с мясом с гренками с зеленью</v>
      </c>
      <c r="J11" s="359" t="str">
        <f>Меню!A1077</f>
        <v>Рассольник "Домашний" с курицей  со сметаной с зеленью</v>
      </c>
      <c r="K11" s="359" t="str">
        <f>Меню!A1178</f>
        <v>Суп с крупой с мясом с зеленью</v>
      </c>
      <c r="L11" s="359" t="str">
        <f>Меню!A1295</f>
        <v>Суп - пюре из картофеля с гренками с зеленью</v>
      </c>
      <c r="M11" s="359" t="str">
        <f>Меню!A1404</f>
        <v>Суп - лапша домашняя с курицей с зеленью</v>
      </c>
      <c r="N11" s="359" t="str">
        <f>Меню!A1549</f>
        <v>Свекольник с курицей со сметаной с зеленью</v>
      </c>
    </row>
    <row r="12" spans="1:14" ht="51" customHeight="1">
      <c r="A12" s="359" t="str">
        <f>Меню!A53</f>
        <v>Фрикадельки из говядины запеченные в соусе</v>
      </c>
      <c r="B12" s="359" t="str">
        <f>Меню!A224</f>
        <v>Котлеты из говядины по домашнему </v>
      </c>
      <c r="C12" s="359" t="str">
        <f>Меню!A339</f>
        <v>Говядина тушеная с капустой</v>
      </c>
      <c r="D12" s="359" t="str">
        <f>Меню!A433</f>
        <v>Курица (кролик) в соусе с томатом</v>
      </c>
      <c r="E12" s="359" t="str">
        <f>Меню!A586</f>
        <v>Биточки рубленные из птицы или кролика "Любительские"</v>
      </c>
      <c r="F12" s="359" t="str">
        <f>Меню!A702</f>
        <v>Плов  по - узбекски</v>
      </c>
      <c r="G12" s="359" t="str">
        <f>Меню!A795</f>
        <v>Говядина, тушенная в сметанном соусе</v>
      </c>
      <c r="H12" s="359" t="str">
        <f>Меню!A898</f>
        <v>Филе куриное тушенное с картофелем </v>
      </c>
      <c r="I12" s="359" t="str">
        <f>Меню!A1000</f>
        <v>Рыба припущенная </v>
      </c>
      <c r="J12" s="359" t="str">
        <f>Меню!A1092</f>
        <v>Бефстроганов</v>
      </c>
      <c r="K12" s="359" t="str">
        <f>Меню!A1195</f>
        <v>Котлета  рубленная из птицы с маслом </v>
      </c>
      <c r="L12" s="359" t="str">
        <f>Меню!A1308</f>
        <v>Говядина тушённая в сметанном соусе с овощами</v>
      </c>
      <c r="M12" s="359" t="str">
        <f>Меню!A1416</f>
        <v>Тефтели</v>
      </c>
      <c r="N12" s="359" t="str">
        <f>Меню!A1565</f>
        <v>Мясо тушеное с картофелем и овощами</v>
      </c>
    </row>
    <row r="13" spans="1:14" ht="36" customHeight="1">
      <c r="A13" s="359" t="str">
        <f>Меню!A67</f>
        <v>Рис припущенный с кукурузой</v>
      </c>
      <c r="B13" s="359" t="str">
        <f>Меню!A234</f>
        <v>Макаронные изделия отварные</v>
      </c>
      <c r="C13" s="359"/>
      <c r="D13" s="359" t="str">
        <f>Меню!A447</f>
        <v>Рис припущенный с овощами</v>
      </c>
      <c r="E13" s="359" t="str">
        <f>Меню!A597</f>
        <v>Рагу овощное</v>
      </c>
      <c r="F13" s="359"/>
      <c r="G13" s="359" t="str">
        <f>Меню!A812</f>
        <v>Гречка отварная вязкая</v>
      </c>
      <c r="H13" s="359"/>
      <c r="I13" s="359" t="str">
        <f>Меню!A1007</f>
        <v>Рис припущенный с морковью</v>
      </c>
      <c r="J13" s="359" t="str">
        <f>Меню!A1100</f>
        <v>Макаронные изделия отварные</v>
      </c>
      <c r="K13" s="359" t="str">
        <f>Меню!A1205</f>
        <v>Капуста тушеная со сметаной и томатом</v>
      </c>
      <c r="L13" s="359" t="str">
        <f>Меню!A1318</f>
        <v>Гречка отварная вязкая</v>
      </c>
      <c r="M13" s="359" t="str">
        <f>Меню!A1436</f>
        <v>Овощи припущенные с маслом </v>
      </c>
      <c r="N13" s="359"/>
    </row>
    <row r="14" spans="1:14" ht="31.5" customHeight="1">
      <c r="A14" s="359" t="str">
        <f>Меню!A71</f>
        <v>Компот из кураги </v>
      </c>
      <c r="B14" s="359" t="str">
        <f>Меню!A237</f>
        <v>Компот из сухофруктов</v>
      </c>
      <c r="C14" s="359" t="str">
        <f>Меню!A352</f>
        <v>Отвар шиповника</v>
      </c>
      <c r="D14" s="359" t="str">
        <f>Меню!A453</f>
        <v>Кисель из свежих ягод</v>
      </c>
      <c r="E14" s="359" t="str">
        <f>Меню!A609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F14" s="359" t="str">
        <f>Меню!A710</f>
        <v>Компот из свежих плодов</v>
      </c>
      <c r="G14" s="359" t="str">
        <f>Меню!A816</f>
        <v>Компот из изюма</v>
      </c>
      <c r="H14" s="359" t="str">
        <f>Меню!A912</f>
        <v>Компот из кураги </v>
      </c>
      <c r="I14" s="359" t="str">
        <f>Меню!A1012</f>
        <v>Компот из свежих плодов</v>
      </c>
      <c r="J14" s="359" t="str">
        <f>Меню!A1103</f>
        <v>Компот из сухофруктов</v>
      </c>
      <c r="K14" s="359" t="str">
        <f>Меню!A1215</f>
        <v>Отвар шиповника</v>
      </c>
      <c r="L14" s="359" t="str">
        <f>Меню!A1322</f>
        <v>Кисель из свежих ягод</v>
      </c>
      <c r="M14" s="359" t="str">
        <f>Меню!A1447</f>
        <v>Компот "Здоровье"</v>
      </c>
      <c r="N14" s="359" t="str">
        <f>Меню!A1579</f>
        <v>Компот из изюма</v>
      </c>
    </row>
    <row r="15" spans="1:14" ht="12.75">
      <c r="A15" s="549" t="s">
        <v>157</v>
      </c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1"/>
    </row>
    <row r="16" spans="1:14" ht="37.5" customHeight="1">
      <c r="A16" s="359" t="str">
        <f>Меню!A77</f>
        <v>Ватрушка "Царская" (творожное блюдо)</v>
      </c>
      <c r="B16" s="359" t="str">
        <f>Меню!A243</f>
        <v>Пирожок с яблоками</v>
      </c>
      <c r="C16" s="359" t="str">
        <f>Меню!A358</f>
        <v>Мучное изделие собственного производства </v>
      </c>
      <c r="D16" s="359" t="str">
        <f>Меню!A460</f>
        <v>Кондитерское изделие (кексы, рулеты с повидлом, бисквит без крема)</v>
      </c>
      <c r="E16" s="359" t="str">
        <f>Меню!A613</f>
        <v>Расстегай московский</v>
      </c>
      <c r="F16" s="359" t="str">
        <f>Меню!A717</f>
        <v>Мучное изделие собственного производства </v>
      </c>
      <c r="G16" s="359" t="str">
        <f>Меню!A822</f>
        <v>Мучное изделие собственного производства </v>
      </c>
      <c r="H16" s="359" t="str">
        <f>Меню!A918</f>
        <v>Кондитерское изделие (кексы, рулеты с повидлом, бисквит без крема)</v>
      </c>
      <c r="I16" s="359" t="str">
        <f>Меню!A1019</f>
        <v>Мучное изделие собственного производства </v>
      </c>
      <c r="J16" s="359" t="str">
        <f>Меню!A1109</f>
        <v>Мучное изделие собственного производства </v>
      </c>
      <c r="K16" s="359" t="str">
        <f>Меню!A1221</f>
        <v>Пирог манный</v>
      </c>
      <c r="L16" s="359" t="str">
        <f>Меню!A1329</f>
        <v>Мучное изделие собственного производства</v>
      </c>
      <c r="M16" s="359" t="str">
        <f>Меню!A1454</f>
        <v>Мучное изделие промышленного производства</v>
      </c>
      <c r="N16" s="359" t="str">
        <f>Меню!A1585</f>
        <v>Кондитерское изделие (кексы, рулеты с повидлом, бисквит без крема)</v>
      </c>
    </row>
    <row r="17" spans="1:14" ht="39" customHeight="1">
      <c r="A17" s="359" t="str">
        <f>Меню!A87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B17" s="359" t="str">
        <f>Меню!A258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C17" s="359" t="str">
        <f>Меню!A360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D17" s="359" t="str">
        <f>Меню!A461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E17" s="359" t="str">
        <f>Меню!A626</f>
        <v>Чай с сахаром </v>
      </c>
      <c r="F17" s="359" t="str">
        <f>Меню!A719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G17" s="359" t="str">
        <f>Меню!A824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H17" s="359" t="str">
        <f>Меню!A919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I17" s="359" t="str">
        <f>Меню!A1021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J17" s="359" t="str">
        <f>Меню!A1111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K17" s="359" t="str">
        <f>Меню!A1231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L17" s="359" t="str">
        <f>Меню!A1331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M17" s="359" t="str">
        <f>Меню!A1472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  <c r="N17" s="359" t="str">
        <f>Меню!A1586</f>
        <v>Соки овощные, плодовые и ягодные (рассчитана   средняя пищевая ценность соков вырабатываемых российскими производителями в соответствии с "Химическим составом Российских продуктов питания" И. М. Скурихина)</v>
      </c>
    </row>
    <row r="18" spans="1:14" ht="12.75">
      <c r="A18" s="549" t="s">
        <v>158</v>
      </c>
      <c r="B18" s="55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1"/>
    </row>
    <row r="19" spans="1:14" ht="33.75" customHeight="1">
      <c r="A19" s="359"/>
      <c r="B19" s="359" t="str">
        <f>Меню!A260</f>
        <v>Рыба слабосоленая порциями</v>
      </c>
      <c r="C19" s="359" t="str">
        <f>Меню!A362</f>
        <v>Салат из свежих огурцов </v>
      </c>
      <c r="D19" s="359" t="str">
        <f>Меню!A463</f>
        <v>Винегрет  овощной</v>
      </c>
      <c r="E19" s="359" t="str">
        <f>Меню!A630</f>
        <v>Нарезка из свежих помидор с луком </v>
      </c>
      <c r="F19" s="359" t="str">
        <f>Меню!A721</f>
        <v>Овощной микс с маслом</v>
      </c>
      <c r="G19" s="359" t="str">
        <f>Меню!A826</f>
        <v>Нарезка из перца и огурца свежих</v>
      </c>
      <c r="H19" s="359" t="str">
        <f>Меню!A921</f>
        <v>Салат "Пестрый"</v>
      </c>
      <c r="I19" s="359" t="str">
        <f>Меню!A1023</f>
        <v>Огурцы соленые</v>
      </c>
      <c r="J19" s="359" t="str">
        <f>Меню!A1113</f>
        <v>Нарезка из помидор и огурцов свежих</v>
      </c>
      <c r="K19" s="359" t="str">
        <f>Меню!A1233</f>
        <v>Помидоры свежие или соленые</v>
      </c>
      <c r="L19" s="359" t="str">
        <f>Меню!A1333</f>
        <v>Яйцо отварное</v>
      </c>
      <c r="M19" s="359" t="str">
        <f>Меню!A1474</f>
        <v>Салат "Живая сила" </v>
      </c>
      <c r="N19" s="359" t="str">
        <f>Меню!A1610</f>
        <v>Кондитерское изделие промышленного производства в индивидуальной упаковке (зефир или мармелад, в том числе обогащенный витаминно-минеральньм комплексом)</v>
      </c>
    </row>
    <row r="20" spans="1:14" ht="33.75" customHeight="1">
      <c r="A20" s="359" t="str">
        <f>Меню!A89</f>
        <v>Бризоль из курицы с маслом</v>
      </c>
      <c r="B20" s="359" t="str">
        <f>Меню!A269</f>
        <v>Сосиски, сардельки отварные с маслом</v>
      </c>
      <c r="C20" s="359" t="str">
        <f>Меню!A367</f>
        <v>Гуляш из говядины</v>
      </c>
      <c r="D20" s="359" t="str">
        <f>Меню!A502</f>
        <v>Рыба "Лакомка" с маслом</v>
      </c>
      <c r="E20" s="359" t="str">
        <f>Меню!A635</f>
        <v>Суфле из говядины с маслом</v>
      </c>
      <c r="F20" s="359" t="str">
        <f>Меню!A728</f>
        <v>Курица, запеченная с маслом</v>
      </c>
      <c r="G20" s="359" t="str">
        <f>Меню!A830</f>
        <v>Жаркое по - русски</v>
      </c>
      <c r="H20" s="359" t="str">
        <f>Меню!A931</f>
        <v>Голубцы ленивые с соусом сметанным</v>
      </c>
      <c r="I20" s="359" t="str">
        <f>Меню!A1026</f>
        <v>Колбасные изделия отварные с маслом</v>
      </c>
      <c r="J20" s="359" t="str">
        <f>Меню!A1118</f>
        <v>Плов из птицы или кролика</v>
      </c>
      <c r="K20" s="359" t="str">
        <f>Меню!A1237</f>
        <v>Биточки из говядины </v>
      </c>
      <c r="L20" s="359" t="str">
        <f>Меню!A1334</f>
        <v>Шницель рыбный натуральный с маслом сливочным </v>
      </c>
      <c r="M20" s="359" t="str">
        <f>Меню!A1482</f>
        <v>Рыба"Лакомка" с маслом </v>
      </c>
      <c r="N20" s="359" t="str">
        <f>Меню!A1588</f>
        <v>Шницель из говядины </v>
      </c>
    </row>
    <row r="21" spans="1:14" ht="29.25" customHeight="1">
      <c r="A21" s="359" t="str">
        <f>Меню!A111</f>
        <v>Картофель запеченный с  сыром  и маслом, с подгарнировкой</v>
      </c>
      <c r="B21" s="359" t="str">
        <f>Меню!A272</f>
        <v>Картофельное пюре</v>
      </c>
      <c r="C21" s="359" t="str">
        <f>Меню!A375</f>
        <v>Гречка отварная вязкая</v>
      </c>
      <c r="D21" s="359" t="str">
        <f>Меню!A513</f>
        <v>Картофель отварной с маслом и зеленью</v>
      </c>
      <c r="E21" s="359" t="str">
        <f>Меню!A647</f>
        <v>Макаронные изделия отварные</v>
      </c>
      <c r="F21" s="359" t="str">
        <f>Меню!A737</f>
        <v>Картофельное пюре</v>
      </c>
      <c r="G21" s="359"/>
      <c r="H21" s="359" t="str">
        <f>Меню!A943</f>
        <v>Картофель отварной с маслом и зеленью</v>
      </c>
      <c r="I21" s="359" t="str">
        <f>Меню!A1029</f>
        <v>Картофельное пюре</v>
      </c>
      <c r="J21" s="359"/>
      <c r="K21" s="359" t="str">
        <f>Меню!A1246</f>
        <v>Картофельное пюре</v>
      </c>
      <c r="L21" s="359" t="str">
        <f>Меню!A1344</f>
        <v>Рагу овощное</v>
      </c>
      <c r="M21" s="359" t="str">
        <f>Меню!A1493</f>
        <v>Картофель отварной с маслом и зеленью</v>
      </c>
      <c r="N21" s="359" t="str">
        <f>Меню!A1597</f>
        <v>Капуста тушеная</v>
      </c>
    </row>
    <row r="22" spans="1:14" ht="34.5" customHeight="1">
      <c r="A22" s="359" t="str">
        <f>Меню!A120</f>
        <v>Чай с мёдом</v>
      </c>
      <c r="B22" s="359" t="str">
        <f>Меню!A282</f>
        <v>Фито-чай с сахаром</v>
      </c>
      <c r="C22" s="359" t="str">
        <f>Меню!A379</f>
        <v>Чай с сахаром</v>
      </c>
      <c r="D22" s="359" t="str">
        <f>Меню!A520</f>
        <v>Чай с лимоном</v>
      </c>
      <c r="E22" s="359" t="str">
        <f>Меню!A650</f>
        <v>Какао с молоком с витамином" С"</v>
      </c>
      <c r="F22" s="359" t="str">
        <f>Меню!A744</f>
        <v>Фито-чай с сахаром</v>
      </c>
      <c r="G22" s="359" t="str">
        <f>Меню!A842</f>
        <v>Чай с сахаром</v>
      </c>
      <c r="H22" s="359" t="str">
        <f>Меню!A950</f>
        <v>Чай с молоком</v>
      </c>
      <c r="I22" s="359" t="str">
        <f>Меню!A1036</f>
        <v>Чай с мёдом</v>
      </c>
      <c r="J22" s="359" t="str">
        <f>Меню!A1128</f>
        <v>Чай с лимоном</v>
      </c>
      <c r="K22" s="359" t="str">
        <f>Меню!A1253</f>
        <v>Чай с сахаром</v>
      </c>
      <c r="L22" s="359" t="str">
        <f>Меню!A1356</f>
        <v>Чай с мёдом</v>
      </c>
      <c r="M22" s="359" t="str">
        <f>Меню!A1503</f>
        <v>Чай с лимоном</v>
      </c>
      <c r="N22" s="359" t="str">
        <f>Меню!A1607</f>
        <v>Чай с сахаром</v>
      </c>
    </row>
    <row r="23" spans="1:14" ht="12.75">
      <c r="A23" s="423">
        <v>1</v>
      </c>
      <c r="B23" s="423">
        <v>2</v>
      </c>
      <c r="C23" s="423">
        <v>3</v>
      </c>
      <c r="D23" s="423">
        <v>4</v>
      </c>
      <c r="E23" s="423">
        <v>5</v>
      </c>
      <c r="F23" s="423">
        <v>6</v>
      </c>
      <c r="G23" s="423">
        <v>7</v>
      </c>
      <c r="H23" s="423">
        <v>8</v>
      </c>
      <c r="I23" s="423">
        <v>9</v>
      </c>
      <c r="J23" s="423">
        <v>10</v>
      </c>
      <c r="K23" s="423">
        <v>11</v>
      </c>
      <c r="L23" s="423">
        <v>12</v>
      </c>
      <c r="M23" s="423">
        <v>13</v>
      </c>
      <c r="N23" s="423">
        <v>14</v>
      </c>
    </row>
  </sheetData>
  <sheetProtection password="CF7A" sheet="1"/>
  <mergeCells count="5">
    <mergeCell ref="A18:N18"/>
    <mergeCell ref="A2:N2"/>
    <mergeCell ref="A7:N7"/>
    <mergeCell ref="A9:N9"/>
    <mergeCell ref="A15:N1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29"/>
  <sheetViews>
    <sheetView zoomScalePageLayoutView="0" workbookViewId="0" topLeftCell="A1">
      <selection activeCell="E7" sqref="E7"/>
    </sheetView>
  </sheetViews>
  <sheetFormatPr defaultColWidth="9.00390625" defaultRowHeight="12.75" outlineLevelCol="1"/>
  <cols>
    <col min="1" max="1" width="2.375" style="0" customWidth="1"/>
    <col min="2" max="2" width="32.25390625" style="30" customWidth="1"/>
    <col min="3" max="3" width="10.75390625" style="30" customWidth="1"/>
    <col min="4" max="4" width="10.75390625" style="30" hidden="1" customWidth="1" outlineLevel="1"/>
    <col min="5" max="5" width="10.75390625" style="30" customWidth="1" collapsed="1"/>
    <col min="6" max="6" width="10.75390625" style="30" customWidth="1"/>
    <col min="7" max="7" width="10.75390625" style="30" hidden="1" customWidth="1" outlineLevel="1"/>
    <col min="8" max="8" width="10.75390625" style="30" customWidth="1" collapsed="1"/>
    <col min="9" max="9" width="10.75390625" style="30" customWidth="1"/>
    <col min="10" max="10" width="10.75390625" style="30" hidden="1" customWidth="1" outlineLevel="1"/>
    <col min="11" max="11" width="10.75390625" style="30" customWidth="1" collapsed="1"/>
    <col min="12" max="12" width="10.75390625" style="30" customWidth="1"/>
    <col min="13" max="13" width="10.75390625" style="30" hidden="1" customWidth="1" outlineLevel="1"/>
    <col min="14" max="14" width="10.75390625" style="30" customWidth="1" collapsed="1"/>
    <col min="15" max="16" width="10.75390625" style="30" customWidth="1"/>
    <col min="17" max="17" width="7.125" style="0" customWidth="1"/>
    <col min="18" max="19" width="9.125" style="0" hidden="1" customWidth="1" outlineLevel="1"/>
    <col min="20" max="20" width="10.125" style="0" hidden="1" customWidth="1" outlineLevel="1"/>
    <col min="21" max="21" width="7.875" style="0" hidden="1" customWidth="1" outlineLevel="1"/>
    <col min="22" max="24" width="9.125" style="0" hidden="1" customWidth="1" outlineLevel="1"/>
    <col min="25" max="25" width="9.125" style="0" customWidth="1" collapsed="1"/>
  </cols>
  <sheetData>
    <row r="1" spans="2:17" ht="54.75" customHeight="1" thickBot="1">
      <c r="B1" s="555" t="s">
        <v>499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255"/>
    </row>
    <row r="2" spans="2:20" ht="38.25" customHeight="1">
      <c r="B2" s="558" t="s">
        <v>500</v>
      </c>
      <c r="C2" s="560" t="s">
        <v>233</v>
      </c>
      <c r="D2" s="560"/>
      <c r="E2" s="560"/>
      <c r="F2" s="560" t="s">
        <v>18</v>
      </c>
      <c r="G2" s="560"/>
      <c r="H2" s="560"/>
      <c r="I2" s="560" t="s">
        <v>61</v>
      </c>
      <c r="J2" s="560"/>
      <c r="K2" s="560"/>
      <c r="L2" s="560" t="s">
        <v>238</v>
      </c>
      <c r="M2" s="560"/>
      <c r="N2" s="560"/>
      <c r="O2" s="561" t="s">
        <v>239</v>
      </c>
      <c r="P2" s="562"/>
      <c r="R2" s="556" t="s">
        <v>195</v>
      </c>
      <c r="S2" s="556"/>
      <c r="T2" s="556"/>
    </row>
    <row r="3" spans="2:21" ht="15.75" customHeight="1">
      <c r="B3" s="559"/>
      <c r="C3" s="296" t="s">
        <v>234</v>
      </c>
      <c r="D3" s="297"/>
      <c r="E3" s="557" t="s">
        <v>237</v>
      </c>
      <c r="F3" s="296" t="s">
        <v>234</v>
      </c>
      <c r="G3" s="297"/>
      <c r="H3" s="557" t="s">
        <v>235</v>
      </c>
      <c r="I3" s="296" t="s">
        <v>234</v>
      </c>
      <c r="J3" s="557"/>
      <c r="K3" s="557" t="s">
        <v>236</v>
      </c>
      <c r="L3" s="296" t="s">
        <v>234</v>
      </c>
      <c r="M3" s="297"/>
      <c r="N3" s="557" t="s">
        <v>237</v>
      </c>
      <c r="O3" s="296" t="s">
        <v>234</v>
      </c>
      <c r="P3" s="563" t="s">
        <v>270</v>
      </c>
      <c r="R3" s="146">
        <v>77</v>
      </c>
      <c r="S3" s="146">
        <v>79</v>
      </c>
      <c r="T3" s="146">
        <v>335</v>
      </c>
      <c r="U3" s="6">
        <v>2350</v>
      </c>
    </row>
    <row r="4" spans="2:16" ht="33.75" customHeight="1" thickBot="1">
      <c r="B4" s="559"/>
      <c r="C4" s="298" t="s">
        <v>501</v>
      </c>
      <c r="D4" s="297"/>
      <c r="E4" s="557"/>
      <c r="F4" s="298" t="s">
        <v>400</v>
      </c>
      <c r="G4" s="297"/>
      <c r="H4" s="557"/>
      <c r="I4" s="298" t="s">
        <v>401</v>
      </c>
      <c r="J4" s="557"/>
      <c r="K4" s="557"/>
      <c r="L4" s="299" t="s">
        <v>502</v>
      </c>
      <c r="M4" s="297"/>
      <c r="N4" s="557"/>
      <c r="O4" s="299">
        <v>2100</v>
      </c>
      <c r="P4" s="563"/>
    </row>
    <row r="5" spans="2:25" s="212" customFormat="1" ht="19.5" customHeight="1" thickBot="1">
      <c r="B5" s="301" t="s">
        <v>1</v>
      </c>
      <c r="C5" s="300">
        <f>Меню!H8</f>
        <v>613.9000000000001</v>
      </c>
      <c r="D5" s="300">
        <f>C5*100/500</f>
        <v>122.78000000000002</v>
      </c>
      <c r="E5" s="300">
        <f>C5*100/2100</f>
        <v>29.233333333333338</v>
      </c>
      <c r="F5" s="300">
        <f>Меню!H31</f>
        <v>802.2666666666667</v>
      </c>
      <c r="G5" s="300">
        <f>F5*100/700</f>
        <v>114.60952380952382</v>
      </c>
      <c r="H5" s="300">
        <f>F5*100/2100</f>
        <v>38.2031746031746</v>
      </c>
      <c r="I5" s="300">
        <f>Меню!H76</f>
        <v>251.5</v>
      </c>
      <c r="J5" s="300">
        <f>I5*100/200</f>
        <v>125.75</v>
      </c>
      <c r="K5" s="300">
        <f>I5*100/2100</f>
        <v>11.976190476190476</v>
      </c>
      <c r="L5" s="300">
        <f>Меню!H88</f>
        <v>543.08</v>
      </c>
      <c r="M5" s="300">
        <f>L5*100/500</f>
        <v>108.61600000000001</v>
      </c>
      <c r="N5" s="300">
        <f>L5*100/2100</f>
        <v>25.860952380952384</v>
      </c>
      <c r="O5" s="300">
        <f>Меню!H127</f>
        <v>2210.746666666667</v>
      </c>
      <c r="P5" s="416">
        <f>O5*100/2100</f>
        <v>105.2736507936508</v>
      </c>
      <c r="Q5" s="223"/>
      <c r="R5" s="263">
        <f>Меню!E127</f>
        <v>68.31666666666666</v>
      </c>
      <c r="S5" s="263">
        <f>Меню!F127</f>
        <v>71.95333333333333</v>
      </c>
      <c r="T5" s="263">
        <f>Меню!G127</f>
        <v>322.545</v>
      </c>
      <c r="U5" s="263">
        <f>Меню!H127</f>
        <v>2210.746666666667</v>
      </c>
      <c r="V5" s="228">
        <f aca="true" t="shared" si="0" ref="V5:V18">R5/S5</f>
        <v>0.9494579820253868</v>
      </c>
      <c r="W5" s="229">
        <f aca="true" t="shared" si="1" ref="W5:W18">S5/R5</f>
        <v>1.053232495730666</v>
      </c>
      <c r="X5" s="230">
        <f aca="true" t="shared" si="2" ref="X5:X18">T5/R5</f>
        <v>4.721322273725299</v>
      </c>
      <c r="Y5" s="223"/>
    </row>
    <row r="6" spans="2:24" s="223" customFormat="1" ht="19.5" customHeight="1" thickBot="1">
      <c r="B6" s="301" t="s">
        <v>33</v>
      </c>
      <c r="C6" s="300">
        <f>Меню!H133</f>
        <v>617.01</v>
      </c>
      <c r="D6" s="300">
        <f aca="true" t="shared" si="3" ref="D6:D18">C6*100/500</f>
        <v>123.402</v>
      </c>
      <c r="E6" s="300">
        <f aca="true" t="shared" si="4" ref="E6:E18">C6*100/2100</f>
        <v>29.38142857142857</v>
      </c>
      <c r="F6" s="300">
        <f>Меню!H169</f>
        <v>747.78</v>
      </c>
      <c r="G6" s="300">
        <f aca="true" t="shared" si="5" ref="G6:G18">F6*100/700</f>
        <v>106.82571428571428</v>
      </c>
      <c r="H6" s="300">
        <f aca="true" t="shared" si="6" ref="H6:H18">F6*100/2100</f>
        <v>35.60857142857143</v>
      </c>
      <c r="I6" s="300">
        <f>Меню!H242</f>
        <v>258.1</v>
      </c>
      <c r="J6" s="300">
        <f aca="true" t="shared" si="7" ref="J6:J18">I6*100/200</f>
        <v>129.05</v>
      </c>
      <c r="K6" s="300">
        <f aca="true" t="shared" si="8" ref="K6:K18">I6*100/2100</f>
        <v>12.290476190476193</v>
      </c>
      <c r="L6" s="300">
        <f>Меню!H259</f>
        <v>510.73999999999995</v>
      </c>
      <c r="M6" s="300">
        <f aca="true" t="shared" si="9" ref="M6:M18">L6*100/500</f>
        <v>102.14799999999998</v>
      </c>
      <c r="N6" s="300">
        <f aca="true" t="shared" si="10" ref="N6:N18">L6*100/2100</f>
        <v>24.320952380952377</v>
      </c>
      <c r="O6" s="300">
        <f>Меню!H291</f>
        <v>2133.63</v>
      </c>
      <c r="P6" s="416">
        <f aca="true" t="shared" si="11" ref="P6:P18">O6*100/2100</f>
        <v>101.60142857142857</v>
      </c>
      <c r="R6" s="224">
        <f>Меню!E291</f>
        <v>65.8</v>
      </c>
      <c r="S6" s="224">
        <f>Меню!F291</f>
        <v>70.69</v>
      </c>
      <c r="T6" s="224">
        <f>Меню!G291</f>
        <v>308.86</v>
      </c>
      <c r="U6" s="224">
        <f>Меню!H291</f>
        <v>2133.63</v>
      </c>
      <c r="V6" s="225">
        <f t="shared" si="0"/>
        <v>0.9308247276842552</v>
      </c>
      <c r="W6" s="226">
        <f t="shared" si="1"/>
        <v>1.0743161094224924</v>
      </c>
      <c r="X6" s="227">
        <f t="shared" si="2"/>
        <v>4.693920972644377</v>
      </c>
    </row>
    <row r="7" spans="2:24" s="223" customFormat="1" ht="19.5" customHeight="1" thickBot="1">
      <c r="B7" s="301" t="s">
        <v>38</v>
      </c>
      <c r="C7" s="300">
        <f>Меню!H297</f>
        <v>565.9</v>
      </c>
      <c r="D7" s="300">
        <f>C7*100/600</f>
        <v>94.31666666666666</v>
      </c>
      <c r="E7" s="300">
        <f t="shared" si="4"/>
        <v>26.947619047619046</v>
      </c>
      <c r="F7" s="300">
        <f>Меню!H316</f>
        <v>749.5</v>
      </c>
      <c r="G7" s="300">
        <f t="shared" si="5"/>
        <v>107.07142857142857</v>
      </c>
      <c r="H7" s="300">
        <f t="shared" si="6"/>
        <v>35.69047619047619</v>
      </c>
      <c r="I7" s="300">
        <f>Меню!H357</f>
        <v>295.20000000000005</v>
      </c>
      <c r="J7" s="300">
        <f t="shared" si="7"/>
        <v>147.60000000000002</v>
      </c>
      <c r="K7" s="300">
        <f t="shared" si="8"/>
        <v>14.057142857142859</v>
      </c>
      <c r="L7" s="300">
        <f>Меню!H361</f>
        <v>488.88</v>
      </c>
      <c r="M7" s="300">
        <f t="shared" si="9"/>
        <v>97.776</v>
      </c>
      <c r="N7" s="300">
        <f t="shared" si="10"/>
        <v>23.28</v>
      </c>
      <c r="O7" s="300">
        <f>Меню!H386</f>
        <v>2099.48</v>
      </c>
      <c r="P7" s="416">
        <f t="shared" si="11"/>
        <v>99.9752380952381</v>
      </c>
      <c r="R7" s="224">
        <f>Меню!E386</f>
        <v>66.9</v>
      </c>
      <c r="S7" s="224">
        <f>Меню!F386</f>
        <v>69.62</v>
      </c>
      <c r="T7" s="224">
        <f>Меню!G386</f>
        <v>301.62</v>
      </c>
      <c r="U7" s="224">
        <f>Меню!H386</f>
        <v>2099.48</v>
      </c>
      <c r="V7" s="228">
        <f t="shared" si="0"/>
        <v>0.960930767020971</v>
      </c>
      <c r="W7" s="229">
        <f t="shared" si="1"/>
        <v>1.0406576980568012</v>
      </c>
      <c r="X7" s="230">
        <f t="shared" si="2"/>
        <v>4.508520179372197</v>
      </c>
    </row>
    <row r="8" spans="2:24" s="223" customFormat="1" ht="19.5" customHeight="1" thickBot="1">
      <c r="B8" s="301" t="s">
        <v>41</v>
      </c>
      <c r="C8" s="300">
        <f>Меню!H392</f>
        <v>513.58</v>
      </c>
      <c r="D8" s="300">
        <f>C8*100/470</f>
        <v>109.27234042553194</v>
      </c>
      <c r="E8" s="300">
        <f t="shared" si="4"/>
        <v>24.45619047619048</v>
      </c>
      <c r="F8" s="300">
        <f>Меню!H412</f>
        <v>794.4</v>
      </c>
      <c r="G8" s="300">
        <f t="shared" si="5"/>
        <v>113.48571428571428</v>
      </c>
      <c r="H8" s="300">
        <f t="shared" si="6"/>
        <v>37.82857142857143</v>
      </c>
      <c r="I8" s="300">
        <f>Меню!H459</f>
        <v>288.5</v>
      </c>
      <c r="J8" s="300">
        <f t="shared" si="7"/>
        <v>144.25</v>
      </c>
      <c r="K8" s="300">
        <f t="shared" si="8"/>
        <v>13.738095238095237</v>
      </c>
      <c r="L8" s="300">
        <f>Меню!H462</f>
        <v>537.6800000000001</v>
      </c>
      <c r="M8" s="300">
        <f t="shared" si="9"/>
        <v>107.53600000000002</v>
      </c>
      <c r="N8" s="300">
        <f t="shared" si="10"/>
        <v>25.603809523809527</v>
      </c>
      <c r="O8" s="300">
        <f>Меню!H528</f>
        <v>2134.16</v>
      </c>
      <c r="P8" s="416">
        <f t="shared" si="11"/>
        <v>101.62666666666667</v>
      </c>
      <c r="R8" s="224">
        <f>Меню!E528</f>
        <v>63.69</v>
      </c>
      <c r="S8" s="224">
        <f>Меню!F528</f>
        <v>72.89999999999999</v>
      </c>
      <c r="T8" s="224">
        <f>Меню!G528</f>
        <v>307.07</v>
      </c>
      <c r="U8" s="224">
        <f>Меню!H528</f>
        <v>2134.16</v>
      </c>
      <c r="V8" s="225">
        <f t="shared" si="0"/>
        <v>0.8736625514403293</v>
      </c>
      <c r="W8" s="226">
        <f t="shared" si="1"/>
        <v>1.1446066886481394</v>
      </c>
      <c r="X8" s="227">
        <f t="shared" si="2"/>
        <v>4.821322028575914</v>
      </c>
    </row>
    <row r="9" spans="2:24" s="223" customFormat="1" ht="19.5" customHeight="1" thickBot="1">
      <c r="B9" s="301" t="s">
        <v>42</v>
      </c>
      <c r="C9" s="300">
        <f>Меню!H534</f>
        <v>596.01</v>
      </c>
      <c r="D9" s="300">
        <f t="shared" si="3"/>
        <v>119.202</v>
      </c>
      <c r="E9" s="300">
        <f t="shared" si="4"/>
        <v>28.38142857142857</v>
      </c>
      <c r="F9" s="300">
        <f>Меню!H564</f>
        <v>734.5400000000001</v>
      </c>
      <c r="G9" s="300">
        <f t="shared" si="5"/>
        <v>104.93428571428574</v>
      </c>
      <c r="H9" s="300">
        <f t="shared" si="6"/>
        <v>34.97809523809524</v>
      </c>
      <c r="I9" s="300">
        <f>Меню!H612</f>
        <v>213.8</v>
      </c>
      <c r="J9" s="300">
        <f t="shared" si="7"/>
        <v>106.9</v>
      </c>
      <c r="K9" s="300">
        <f t="shared" si="8"/>
        <v>10.18095238095238</v>
      </c>
      <c r="L9" s="300">
        <f>Меню!H629</f>
        <v>549.8700000000001</v>
      </c>
      <c r="M9" s="300">
        <f t="shared" si="9"/>
        <v>109.97400000000003</v>
      </c>
      <c r="N9" s="300">
        <f t="shared" si="10"/>
        <v>26.18428571428572</v>
      </c>
      <c r="O9" s="300">
        <f>Меню!H658</f>
        <v>2094.2200000000003</v>
      </c>
      <c r="P9" s="416">
        <f t="shared" si="11"/>
        <v>99.72476190476192</v>
      </c>
      <c r="R9" s="224">
        <f>Меню!E658</f>
        <v>62.38</v>
      </c>
      <c r="S9" s="224">
        <f>Меню!F658</f>
        <v>72.1</v>
      </c>
      <c r="T9" s="224">
        <f>Меню!G658</f>
        <v>299.225</v>
      </c>
      <c r="U9" s="224">
        <f>Меню!H658</f>
        <v>2094.2200000000003</v>
      </c>
      <c r="V9" s="228">
        <f t="shared" si="0"/>
        <v>0.8651872399445216</v>
      </c>
      <c r="W9" s="229">
        <f t="shared" si="1"/>
        <v>1.1558191728117986</v>
      </c>
      <c r="X9" s="230">
        <f t="shared" si="2"/>
        <v>4.796809874959923</v>
      </c>
    </row>
    <row r="10" spans="2:24" s="223" customFormat="1" ht="19.5" customHeight="1" thickBot="1">
      <c r="B10" s="301" t="s">
        <v>44</v>
      </c>
      <c r="C10" s="300">
        <f>Меню!H664</f>
        <v>526</v>
      </c>
      <c r="D10" s="300">
        <f t="shared" si="3"/>
        <v>105.2</v>
      </c>
      <c r="E10" s="300">
        <f t="shared" si="4"/>
        <v>25.047619047619047</v>
      </c>
      <c r="F10" s="300">
        <f>Меню!H682</f>
        <v>754.6700000000001</v>
      </c>
      <c r="G10" s="300">
        <f t="shared" si="5"/>
        <v>107.81</v>
      </c>
      <c r="H10" s="300">
        <f t="shared" si="6"/>
        <v>35.93666666666667</v>
      </c>
      <c r="I10" s="300">
        <f>Меню!H716</f>
        <v>295.20000000000005</v>
      </c>
      <c r="J10" s="300">
        <f t="shared" si="7"/>
        <v>147.60000000000002</v>
      </c>
      <c r="K10" s="300">
        <f t="shared" si="8"/>
        <v>14.057142857142859</v>
      </c>
      <c r="L10" s="300">
        <f>Меню!H720</f>
        <v>541.27</v>
      </c>
      <c r="M10" s="300">
        <f t="shared" si="9"/>
        <v>108.254</v>
      </c>
      <c r="N10" s="300">
        <f t="shared" si="10"/>
        <v>25.774761904761906</v>
      </c>
      <c r="O10" s="300">
        <f>Меню!H751</f>
        <v>2117.1400000000003</v>
      </c>
      <c r="P10" s="416">
        <f t="shared" si="11"/>
        <v>100.81619047619049</v>
      </c>
      <c r="R10" s="224">
        <f>Меню!E751</f>
        <v>65.6</v>
      </c>
      <c r="S10" s="224">
        <f>Меню!F751</f>
        <v>70.61</v>
      </c>
      <c r="T10" s="224">
        <f>Меню!G751</f>
        <v>305.13</v>
      </c>
      <c r="U10" s="224">
        <f>Меню!H751</f>
        <v>2117.1400000000003</v>
      </c>
      <c r="V10" s="225">
        <f t="shared" si="0"/>
        <v>0.9290468772128593</v>
      </c>
      <c r="W10" s="226">
        <f t="shared" si="1"/>
        <v>1.0763719512195122</v>
      </c>
      <c r="X10" s="227">
        <f t="shared" si="2"/>
        <v>4.651371951219512</v>
      </c>
    </row>
    <row r="11" spans="2:24" s="223" customFormat="1" ht="19.5" customHeight="1" thickBot="1">
      <c r="B11" s="301" t="s">
        <v>48</v>
      </c>
      <c r="C11" s="300">
        <f>Меню!H757</f>
        <v>592.6100000000001</v>
      </c>
      <c r="D11" s="300">
        <f t="shared" si="3"/>
        <v>118.52200000000003</v>
      </c>
      <c r="E11" s="300">
        <f t="shared" si="4"/>
        <v>28.219523809523817</v>
      </c>
      <c r="F11" s="300">
        <f>Меню!H777</f>
        <v>786.76</v>
      </c>
      <c r="G11" s="300">
        <f t="shared" si="5"/>
        <v>112.39428571428572</v>
      </c>
      <c r="H11" s="300">
        <f t="shared" si="6"/>
        <v>37.46476190476191</v>
      </c>
      <c r="I11" s="300">
        <f>Меню!H821</f>
        <v>295.20000000000005</v>
      </c>
      <c r="J11" s="300">
        <f t="shared" si="7"/>
        <v>147.60000000000002</v>
      </c>
      <c r="K11" s="300">
        <f t="shared" si="8"/>
        <v>14.057142857142859</v>
      </c>
      <c r="L11" s="300">
        <f>Меню!H825</f>
        <v>464.8</v>
      </c>
      <c r="M11" s="300">
        <f t="shared" si="9"/>
        <v>92.96</v>
      </c>
      <c r="N11" s="300">
        <f t="shared" si="10"/>
        <v>22.133333333333333</v>
      </c>
      <c r="O11" s="300">
        <f>Меню!H849</f>
        <v>2139.37</v>
      </c>
      <c r="P11" s="416">
        <f t="shared" si="11"/>
        <v>101.87476190476191</v>
      </c>
      <c r="R11" s="224">
        <f>Меню!E849</f>
        <v>62.650000000000006</v>
      </c>
      <c r="S11" s="224">
        <f>Меню!F849</f>
        <v>70.17000000000002</v>
      </c>
      <c r="T11" s="224">
        <f>Меню!G849</f>
        <v>314.485</v>
      </c>
      <c r="U11" s="224">
        <f>Меню!H849</f>
        <v>2139.37</v>
      </c>
      <c r="V11" s="228">
        <f t="shared" si="0"/>
        <v>0.8928316944563203</v>
      </c>
      <c r="W11" s="229">
        <f t="shared" si="1"/>
        <v>1.120031923383879</v>
      </c>
      <c r="X11" s="230">
        <f t="shared" si="2"/>
        <v>5.019712689545091</v>
      </c>
    </row>
    <row r="12" spans="2:24" s="223" customFormat="1" ht="19.5" customHeight="1" thickBot="1">
      <c r="B12" s="301" t="s">
        <v>50</v>
      </c>
      <c r="C12" s="300">
        <f>Меню!H855</f>
        <v>459.24</v>
      </c>
      <c r="D12" s="300">
        <f t="shared" si="3"/>
        <v>91.848</v>
      </c>
      <c r="E12" s="300">
        <f t="shared" si="4"/>
        <v>21.86857142857143</v>
      </c>
      <c r="F12" s="300">
        <f>Меню!H873</f>
        <v>734.7800000000001</v>
      </c>
      <c r="G12" s="300">
        <f t="shared" si="5"/>
        <v>104.96857142857145</v>
      </c>
      <c r="H12" s="300">
        <f t="shared" si="6"/>
        <v>34.98952380952382</v>
      </c>
      <c r="I12" s="300">
        <f>Меню!H917</f>
        <v>288.5</v>
      </c>
      <c r="J12" s="300">
        <f t="shared" si="7"/>
        <v>144.25</v>
      </c>
      <c r="K12" s="300">
        <f t="shared" si="8"/>
        <v>13.738095238095237</v>
      </c>
      <c r="L12" s="300">
        <f>Меню!H920</f>
        <v>481.57</v>
      </c>
      <c r="M12" s="300">
        <f t="shared" si="9"/>
        <v>96.314</v>
      </c>
      <c r="N12" s="300">
        <f t="shared" si="10"/>
        <v>22.93190476190476</v>
      </c>
      <c r="O12" s="300">
        <f>Меню!H958</f>
        <v>1964.09</v>
      </c>
      <c r="P12" s="416">
        <f t="shared" si="11"/>
        <v>93.52809523809523</v>
      </c>
      <c r="R12" s="224">
        <f>Меню!E958</f>
        <v>55.54</v>
      </c>
      <c r="S12" s="224">
        <f>Меню!F958</f>
        <v>61.38333333333333</v>
      </c>
      <c r="T12" s="224">
        <f>Меню!G958</f>
        <v>299.58</v>
      </c>
      <c r="U12" s="224">
        <f>Меню!H958</f>
        <v>1964.09</v>
      </c>
      <c r="V12" s="225">
        <f t="shared" si="0"/>
        <v>0.9048058647841434</v>
      </c>
      <c r="W12" s="226">
        <f t="shared" si="1"/>
        <v>1.1052094586484216</v>
      </c>
      <c r="X12" s="227">
        <f t="shared" si="2"/>
        <v>5.393950306085704</v>
      </c>
    </row>
    <row r="13" spans="2:24" s="223" customFormat="1" ht="19.5" customHeight="1" thickBot="1">
      <c r="B13" s="301" t="s">
        <v>54</v>
      </c>
      <c r="C13" s="300">
        <f>Меню!H964</f>
        <v>525.8100000000001</v>
      </c>
      <c r="D13" s="300">
        <f t="shared" si="3"/>
        <v>105.16200000000002</v>
      </c>
      <c r="E13" s="300">
        <f t="shared" si="4"/>
        <v>25.038571428571434</v>
      </c>
      <c r="F13" s="300">
        <f>Меню!H981</f>
        <v>741.32</v>
      </c>
      <c r="G13" s="300">
        <f t="shared" si="5"/>
        <v>105.90285714285714</v>
      </c>
      <c r="H13" s="300">
        <f t="shared" si="6"/>
        <v>35.30095238095238</v>
      </c>
      <c r="I13" s="300">
        <f>Меню!H1018</f>
        <v>295.20000000000005</v>
      </c>
      <c r="J13" s="300">
        <f t="shared" si="7"/>
        <v>147.60000000000002</v>
      </c>
      <c r="K13" s="300">
        <f t="shared" si="8"/>
        <v>14.057142857142859</v>
      </c>
      <c r="L13" s="300">
        <f>Меню!H1022</f>
        <v>524.9333333333333</v>
      </c>
      <c r="M13" s="300">
        <f t="shared" si="9"/>
        <v>104.98666666666665</v>
      </c>
      <c r="N13" s="300">
        <f t="shared" si="10"/>
        <v>24.996825396825393</v>
      </c>
      <c r="O13" s="300">
        <f>Меню!H1042</f>
        <v>2087.2633333333333</v>
      </c>
      <c r="P13" s="416">
        <f t="shared" si="11"/>
        <v>99.39349206349206</v>
      </c>
      <c r="R13" s="224">
        <f>Меню!E1042</f>
        <v>61.89</v>
      </c>
      <c r="S13" s="224">
        <f>Меню!F1042</f>
        <v>67.53</v>
      </c>
      <c r="T13" s="224">
        <f>Меню!G1042</f>
        <v>307.98333333333335</v>
      </c>
      <c r="U13" s="224">
        <f>Меню!H1042</f>
        <v>2087.2633333333333</v>
      </c>
      <c r="V13" s="228">
        <f t="shared" si="0"/>
        <v>0.9164815637494447</v>
      </c>
      <c r="W13" s="229">
        <f t="shared" si="1"/>
        <v>1.0911294231701405</v>
      </c>
      <c r="X13" s="230">
        <f t="shared" si="2"/>
        <v>4.976302041255992</v>
      </c>
    </row>
    <row r="14" spans="2:24" s="223" customFormat="1" ht="19.5" customHeight="1" thickBot="1">
      <c r="B14" s="301" t="s">
        <v>68</v>
      </c>
      <c r="C14" s="300">
        <f>Меню!H1048</f>
        <v>556</v>
      </c>
      <c r="D14" s="300">
        <f t="shared" si="3"/>
        <v>111.2</v>
      </c>
      <c r="E14" s="300">
        <f t="shared" si="4"/>
        <v>26.476190476190474</v>
      </c>
      <c r="F14" s="300">
        <f>Меню!H1069</f>
        <v>748.92</v>
      </c>
      <c r="G14" s="300">
        <f t="shared" si="5"/>
        <v>106.98857142857143</v>
      </c>
      <c r="H14" s="300">
        <f t="shared" si="6"/>
        <v>35.66285714285714</v>
      </c>
      <c r="I14" s="300">
        <f>Меню!H1108</f>
        <v>295.20000000000005</v>
      </c>
      <c r="J14" s="300">
        <f t="shared" si="7"/>
        <v>147.60000000000002</v>
      </c>
      <c r="K14" s="300">
        <f t="shared" si="8"/>
        <v>14.057142857142859</v>
      </c>
      <c r="L14" s="300">
        <f>Меню!H1112</f>
        <v>521.9900000000001</v>
      </c>
      <c r="M14" s="300">
        <f t="shared" si="9"/>
        <v>104.39800000000002</v>
      </c>
      <c r="N14" s="300">
        <f t="shared" si="10"/>
        <v>24.856666666666673</v>
      </c>
      <c r="O14" s="300">
        <f>Меню!H1138</f>
        <v>2122.11</v>
      </c>
      <c r="P14" s="416">
        <f t="shared" si="11"/>
        <v>101.05285714285715</v>
      </c>
      <c r="R14" s="224" t="e">
        <f>Меню!#REF!</f>
        <v>#REF!</v>
      </c>
      <c r="S14" s="224" t="e">
        <f>Меню!#REF!</f>
        <v>#REF!</v>
      </c>
      <c r="T14" s="224" t="e">
        <f>Меню!#REF!</f>
        <v>#REF!</v>
      </c>
      <c r="U14" s="224" t="e">
        <f>Меню!#REF!</f>
        <v>#REF!</v>
      </c>
      <c r="V14" s="225" t="e">
        <f t="shared" si="0"/>
        <v>#REF!</v>
      </c>
      <c r="W14" s="226" t="e">
        <f t="shared" si="1"/>
        <v>#REF!</v>
      </c>
      <c r="X14" s="227" t="e">
        <f t="shared" si="2"/>
        <v>#REF!</v>
      </c>
    </row>
    <row r="15" spans="2:24" s="223" customFormat="1" ht="19.5" customHeight="1" thickBot="1">
      <c r="B15" s="301" t="s">
        <v>97</v>
      </c>
      <c r="C15" s="300">
        <f>Меню!H1144</f>
        <v>598.7</v>
      </c>
      <c r="D15" s="300">
        <f t="shared" si="3"/>
        <v>119.74000000000001</v>
      </c>
      <c r="E15" s="300">
        <f t="shared" si="4"/>
        <v>28.509523809523813</v>
      </c>
      <c r="F15" s="300">
        <f>Меню!H1166</f>
        <v>764.4300000000001</v>
      </c>
      <c r="G15" s="300">
        <f t="shared" si="5"/>
        <v>109.20428571428572</v>
      </c>
      <c r="H15" s="300">
        <f t="shared" si="6"/>
        <v>36.401428571428575</v>
      </c>
      <c r="I15" s="300">
        <f>Меню!H1220</f>
        <v>287.70000000000005</v>
      </c>
      <c r="J15" s="300">
        <f t="shared" si="7"/>
        <v>143.85000000000002</v>
      </c>
      <c r="K15" s="300">
        <f t="shared" si="8"/>
        <v>13.700000000000001</v>
      </c>
      <c r="L15" s="300">
        <f>Меню!H1232</f>
        <v>514.08</v>
      </c>
      <c r="M15" s="300">
        <f t="shared" si="9"/>
        <v>102.81600000000002</v>
      </c>
      <c r="N15" s="300">
        <f t="shared" si="10"/>
        <v>24.480000000000004</v>
      </c>
      <c r="O15" s="300">
        <f>Меню!H1260</f>
        <v>2164.91</v>
      </c>
      <c r="P15" s="416">
        <f t="shared" si="11"/>
        <v>103.09095238095239</v>
      </c>
      <c r="R15" s="224">
        <f>Меню!E1260</f>
        <v>65.71749999999999</v>
      </c>
      <c r="S15" s="224">
        <f>Меню!F1260</f>
        <v>71.78</v>
      </c>
      <c r="T15" s="224">
        <f>Меню!G1260</f>
        <v>314.28499999999997</v>
      </c>
      <c r="U15" s="224">
        <f>Меню!H1260</f>
        <v>2164.91</v>
      </c>
      <c r="V15" s="228">
        <f t="shared" si="0"/>
        <v>0.9155405405405403</v>
      </c>
      <c r="W15" s="229">
        <f t="shared" si="1"/>
        <v>1.0922509225092254</v>
      </c>
      <c r="X15" s="230">
        <f t="shared" si="2"/>
        <v>4.7823639061132885</v>
      </c>
    </row>
    <row r="16" spans="2:24" s="223" customFormat="1" ht="19.5" customHeight="1" thickBot="1">
      <c r="B16" s="301" t="s">
        <v>99</v>
      </c>
      <c r="C16" s="300">
        <f>Меню!H1266</f>
        <v>517.6</v>
      </c>
      <c r="D16" s="300">
        <f t="shared" si="3"/>
        <v>103.52</v>
      </c>
      <c r="E16" s="300">
        <f t="shared" si="4"/>
        <v>24.64761904761905</v>
      </c>
      <c r="F16" s="300">
        <f>Меню!H1289</f>
        <v>864.1223157894736</v>
      </c>
      <c r="G16" s="300">
        <f t="shared" si="5"/>
        <v>123.44604511278195</v>
      </c>
      <c r="H16" s="300">
        <f t="shared" si="6"/>
        <v>41.14868170426065</v>
      </c>
      <c r="I16" s="300">
        <f>Меню!H1328</f>
        <v>295.20000000000005</v>
      </c>
      <c r="J16" s="300">
        <f t="shared" si="7"/>
        <v>147.60000000000002</v>
      </c>
      <c r="K16" s="300">
        <f t="shared" si="8"/>
        <v>14.057142857142859</v>
      </c>
      <c r="L16" s="300">
        <f>Меню!H1332</f>
        <v>487.27000000000004</v>
      </c>
      <c r="M16" s="300">
        <f t="shared" si="9"/>
        <v>97.45400000000001</v>
      </c>
      <c r="N16" s="300">
        <f t="shared" si="10"/>
        <v>23.203333333333337</v>
      </c>
      <c r="O16" s="300">
        <f>Меню!H1363</f>
        <v>2164.1923157894735</v>
      </c>
      <c r="P16" s="416">
        <f t="shared" si="11"/>
        <v>103.05677694235587</v>
      </c>
      <c r="R16" s="224">
        <f>Меню!E1363</f>
        <v>69.04557894736843</v>
      </c>
      <c r="S16" s="224">
        <f>Меню!F1363</f>
        <v>70.9</v>
      </c>
      <c r="T16" s="224">
        <f>Меню!G1363</f>
        <v>303.6</v>
      </c>
      <c r="U16" s="224">
        <f>Меню!H1363</f>
        <v>2164.1923157894735</v>
      </c>
      <c r="V16" s="225">
        <f t="shared" si="0"/>
        <v>0.9738445549699354</v>
      </c>
      <c r="W16" s="226">
        <f t="shared" si="1"/>
        <v>1.0268579260381776</v>
      </c>
      <c r="X16" s="227">
        <f t="shared" si="2"/>
        <v>4.397095435052056</v>
      </c>
    </row>
    <row r="17" spans="2:24" s="223" customFormat="1" ht="19.5" customHeight="1" thickBot="1">
      <c r="B17" s="301" t="s">
        <v>100</v>
      </c>
      <c r="C17" s="300">
        <f>Меню!H1369</f>
        <v>580.2</v>
      </c>
      <c r="D17" s="300">
        <f t="shared" si="3"/>
        <v>116.04000000000002</v>
      </c>
      <c r="E17" s="300">
        <f t="shared" si="4"/>
        <v>27.628571428571433</v>
      </c>
      <c r="F17" s="300">
        <f>Меню!H1396</f>
        <v>736.7538461538461</v>
      </c>
      <c r="G17" s="300">
        <f t="shared" si="5"/>
        <v>105.25054945054944</v>
      </c>
      <c r="H17" s="300">
        <f t="shared" si="6"/>
        <v>35.08351648351648</v>
      </c>
      <c r="I17" s="300">
        <f>Меню!H1453</f>
        <v>295.20000000000005</v>
      </c>
      <c r="J17" s="300">
        <f t="shared" si="7"/>
        <v>147.60000000000002</v>
      </c>
      <c r="K17" s="300">
        <f t="shared" si="8"/>
        <v>14.057142857142859</v>
      </c>
      <c r="L17" s="300">
        <f>Меню!H1473</f>
        <v>502.448</v>
      </c>
      <c r="M17" s="300">
        <f t="shared" si="9"/>
        <v>100.4896</v>
      </c>
      <c r="N17" s="300">
        <f t="shared" si="10"/>
        <v>23.926095238095236</v>
      </c>
      <c r="O17" s="300">
        <f>Меню!H1511</f>
        <v>2114.601846153846</v>
      </c>
      <c r="P17" s="416">
        <f t="shared" si="11"/>
        <v>100.695326007326</v>
      </c>
      <c r="R17" s="224">
        <f>Меню!E1511</f>
        <v>60.512</v>
      </c>
      <c r="S17" s="224">
        <f>Меню!F1511</f>
        <v>72.09153846153848</v>
      </c>
      <c r="T17" s="224">
        <f>Меню!G1511</f>
        <v>307.05</v>
      </c>
      <c r="U17" s="224">
        <f>Меню!H1511</f>
        <v>2114.601846153846</v>
      </c>
      <c r="V17" s="228">
        <f t="shared" si="0"/>
        <v>0.8393772874230411</v>
      </c>
      <c r="W17" s="229">
        <f t="shared" si="1"/>
        <v>1.1913593743643984</v>
      </c>
      <c r="X17" s="230">
        <f t="shared" si="2"/>
        <v>5.074200158646219</v>
      </c>
    </row>
    <row r="18" spans="2:24" s="223" customFormat="1" ht="19.5" customHeight="1" thickBot="1">
      <c r="B18" s="301" t="s">
        <v>103</v>
      </c>
      <c r="C18" s="300">
        <f>Меню!H1517</f>
        <v>612.7</v>
      </c>
      <c r="D18" s="300">
        <f t="shared" si="3"/>
        <v>122.54000000000002</v>
      </c>
      <c r="E18" s="300">
        <f t="shared" si="4"/>
        <v>29.17619047619048</v>
      </c>
      <c r="F18" s="300">
        <f>Меню!H1539</f>
        <v>756.02</v>
      </c>
      <c r="G18" s="300">
        <f t="shared" si="5"/>
        <v>108.00285714285714</v>
      </c>
      <c r="H18" s="300">
        <f t="shared" si="6"/>
        <v>36.000952380952384</v>
      </c>
      <c r="I18" s="300">
        <f>Меню!H1584</f>
        <v>288.5</v>
      </c>
      <c r="J18" s="300">
        <f t="shared" si="7"/>
        <v>144.25</v>
      </c>
      <c r="K18" s="300">
        <f t="shared" si="8"/>
        <v>13.738095238095237</v>
      </c>
      <c r="L18" s="300">
        <f>Меню!H1587</f>
        <v>478.78</v>
      </c>
      <c r="M18" s="300">
        <f t="shared" si="9"/>
        <v>95.756</v>
      </c>
      <c r="N18" s="300">
        <f t="shared" si="10"/>
        <v>22.79904761904762</v>
      </c>
      <c r="O18" s="300">
        <f>Меню!H1615</f>
        <v>2136</v>
      </c>
      <c r="P18" s="416">
        <f t="shared" si="11"/>
        <v>101.71428571428571</v>
      </c>
      <c r="R18" s="264">
        <f>Меню!E1615</f>
        <v>65.05</v>
      </c>
      <c r="S18" s="264">
        <f>Меню!F1615</f>
        <v>71.32</v>
      </c>
      <c r="T18" s="264">
        <f>Меню!G1615</f>
        <v>308.76</v>
      </c>
      <c r="U18" s="264">
        <f>Меню!H1615</f>
        <v>2136</v>
      </c>
      <c r="V18" s="265">
        <f t="shared" si="0"/>
        <v>0.9120863712843522</v>
      </c>
      <c r="W18" s="266">
        <f t="shared" si="1"/>
        <v>1.0963873943120677</v>
      </c>
      <c r="X18" s="267">
        <f t="shared" si="2"/>
        <v>4.7465026902382785</v>
      </c>
    </row>
    <row r="19" spans="2:25" s="212" customFormat="1" ht="18.75" thickBot="1">
      <c r="B19" s="302" t="s">
        <v>272</v>
      </c>
      <c r="C19" s="303">
        <f>(C14+C13+C12+C11+C10+C9+C8+C7+C6+C5+C15+C16+C17+C18)/14</f>
        <v>562.5185714285714</v>
      </c>
      <c r="D19" s="303"/>
      <c r="E19" s="303">
        <f aca="true" t="shared" si="12" ref="E19:P19">(E14+E13+E12+E11+E10+E9+E8+E7+E6+E5+E15+E16+E17+E18)/14</f>
        <v>26.786598639455786</v>
      </c>
      <c r="F19" s="303">
        <f t="shared" si="12"/>
        <v>765.4473449007131</v>
      </c>
      <c r="G19" s="303"/>
      <c r="H19" s="303">
        <f t="shared" si="12"/>
        <v>36.44987356670064</v>
      </c>
      <c r="I19" s="303">
        <f t="shared" si="12"/>
        <v>281.64285714285717</v>
      </c>
      <c r="J19" s="303"/>
      <c r="K19" s="303">
        <f t="shared" si="12"/>
        <v>13.41156462585034</v>
      </c>
      <c r="L19" s="303">
        <f t="shared" si="12"/>
        <v>510.5279523809524</v>
      </c>
      <c r="M19" s="303"/>
      <c r="N19" s="303">
        <f t="shared" si="12"/>
        <v>24.310854875283447</v>
      </c>
      <c r="O19" s="303">
        <f t="shared" si="12"/>
        <v>2120.1367258530945</v>
      </c>
      <c r="P19" s="425">
        <f t="shared" si="12"/>
        <v>100.95889170729018</v>
      </c>
      <c r="Q19" s="223"/>
      <c r="R19" s="268" t="e">
        <f>(R18+R17+R16+R15+R14+R13+R12+R11+R10+R9+R8+R7+R6+R5)/14</f>
        <v>#REF!</v>
      </c>
      <c r="S19" s="268" t="e">
        <f>(S18+S17+S16+S15+S14+S13+S12+S11+S10+S9+S8+S7+S6+S5)/14</f>
        <v>#REF!</v>
      </c>
      <c r="T19" s="268" t="e">
        <f>(T18+T17+T16+T15+T14+T13+T12+T11+T10+T9+T8+T7+T6+T5)/14</f>
        <v>#REF!</v>
      </c>
      <c r="U19" s="268" t="e">
        <f>(U18+U17+U16+U15+U14+U13+U12+U11+U10+U9+U8+U7+U6+U5)/14</f>
        <v>#REF!</v>
      </c>
      <c r="V19" s="269" t="e">
        <f>R19/S19</f>
        <v>#REF!</v>
      </c>
      <c r="W19" s="270" t="e">
        <f>S19/R19</f>
        <v>#REF!</v>
      </c>
      <c r="X19" s="271" t="e">
        <f>T19/R19</f>
        <v>#REF!</v>
      </c>
      <c r="Y19" s="223"/>
    </row>
    <row r="20" spans="2:17" s="212" customFormat="1" ht="17.25" customHeight="1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4"/>
      <c r="Q20" s="214"/>
    </row>
    <row r="21" spans="16:17" ht="13.5" customHeight="1">
      <c r="P21" s="26"/>
      <c r="Q21" s="26"/>
    </row>
    <row r="22" spans="16:17" ht="24" customHeight="1">
      <c r="P22" s="424"/>
      <c r="Q22" s="26"/>
    </row>
    <row r="23" ht="12.75">
      <c r="Q23" s="26"/>
    </row>
    <row r="24" ht="12.75">
      <c r="Q24" s="26"/>
    </row>
    <row r="25" ht="12.75">
      <c r="Q25" s="26"/>
    </row>
    <row r="26" ht="12.75">
      <c r="Q26" s="26"/>
    </row>
    <row r="27" ht="12.75">
      <c r="Q27" s="26"/>
    </row>
    <row r="28" ht="12.75">
      <c r="Q28" s="26"/>
    </row>
    <row r="29" ht="12.75">
      <c r="Q29" s="26"/>
    </row>
  </sheetData>
  <sheetProtection password="CF7A" sheet="1"/>
  <mergeCells count="14">
    <mergeCell ref="H3:H4"/>
    <mergeCell ref="F2:H2"/>
    <mergeCell ref="C2:E2"/>
    <mergeCell ref="I2:K2"/>
    <mergeCell ref="B1:P1"/>
    <mergeCell ref="R2:T2"/>
    <mergeCell ref="J3:J4"/>
    <mergeCell ref="B2:B4"/>
    <mergeCell ref="K3:K4"/>
    <mergeCell ref="N3:N4"/>
    <mergeCell ref="L2:N2"/>
    <mergeCell ref="O2:P2"/>
    <mergeCell ref="P3:P4"/>
    <mergeCell ref="E3:E4"/>
  </mergeCells>
  <printOptions horizontalCentered="1"/>
  <pageMargins left="0" right="0.34" top="0.6" bottom="0" header="0.71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0"/>
    </sheetView>
  </sheetViews>
  <sheetFormatPr defaultColWidth="9.00390625" defaultRowHeight="12.75"/>
  <cols>
    <col min="1" max="4" width="9.125" style="277" customWidth="1"/>
  </cols>
  <sheetData>
    <row r="1" spans="1:6" ht="12.75">
      <c r="A1" s="564" t="s">
        <v>271</v>
      </c>
      <c r="B1" s="564"/>
      <c r="C1" s="564"/>
      <c r="D1" s="564"/>
      <c r="E1" s="564"/>
      <c r="F1" s="564"/>
    </row>
    <row r="2" spans="1:6" ht="12.75">
      <c r="A2" s="278">
        <v>8.7</v>
      </c>
      <c r="B2" s="278">
        <v>1.5</v>
      </c>
      <c r="C2" s="278">
        <v>1.4</v>
      </c>
      <c r="D2" s="278">
        <v>38.7</v>
      </c>
      <c r="E2" s="279">
        <v>209</v>
      </c>
      <c r="F2" s="279">
        <v>100</v>
      </c>
    </row>
    <row r="3" spans="1:6" ht="12.75">
      <c r="A3" s="278">
        <f aca="true" t="shared" si="0" ref="A3:F3">A2*80/100</f>
        <v>6.96</v>
      </c>
      <c r="B3" s="278">
        <f t="shared" si="0"/>
        <v>1.2</v>
      </c>
      <c r="C3" s="278">
        <f t="shared" si="0"/>
        <v>1.12</v>
      </c>
      <c r="D3" s="278">
        <f t="shared" si="0"/>
        <v>30.96</v>
      </c>
      <c r="E3" s="280">
        <f t="shared" si="0"/>
        <v>167.2</v>
      </c>
      <c r="F3" s="280">
        <f t="shared" si="0"/>
        <v>80</v>
      </c>
    </row>
    <row r="4" spans="1:6" ht="12.75">
      <c r="A4" s="278">
        <f aca="true" t="shared" si="1" ref="A4:F4">A2*70/100</f>
        <v>6.09</v>
      </c>
      <c r="B4" s="278">
        <f t="shared" si="1"/>
        <v>1.05</v>
      </c>
      <c r="C4" s="278">
        <f t="shared" si="1"/>
        <v>0.98</v>
      </c>
      <c r="D4" s="278">
        <f t="shared" si="1"/>
        <v>27.09</v>
      </c>
      <c r="E4" s="280">
        <f t="shared" si="1"/>
        <v>146.3</v>
      </c>
      <c r="F4" s="279">
        <f t="shared" si="1"/>
        <v>70</v>
      </c>
    </row>
    <row r="5" spans="1:6" ht="12.75">
      <c r="A5" s="278">
        <f aca="true" t="shared" si="2" ref="A5:F5">A2*60/100</f>
        <v>5.22</v>
      </c>
      <c r="B5" s="278">
        <f t="shared" si="2"/>
        <v>0.9</v>
      </c>
      <c r="C5" s="278">
        <f t="shared" si="2"/>
        <v>0.84</v>
      </c>
      <c r="D5" s="278">
        <f t="shared" si="2"/>
        <v>23.22</v>
      </c>
      <c r="E5" s="280">
        <f t="shared" si="2"/>
        <v>125.4</v>
      </c>
      <c r="F5" s="280">
        <f t="shared" si="2"/>
        <v>60</v>
      </c>
    </row>
    <row r="6" spans="1:6" ht="12.75">
      <c r="A6" s="278">
        <f aca="true" t="shared" si="3" ref="A6:F6">A2*50/100</f>
        <v>4.35</v>
      </c>
      <c r="B6" s="278">
        <f t="shared" si="3"/>
        <v>0.75</v>
      </c>
      <c r="C6" s="278">
        <f t="shared" si="3"/>
        <v>0.7</v>
      </c>
      <c r="D6" s="278">
        <f t="shared" si="3"/>
        <v>19.35</v>
      </c>
      <c r="E6" s="280">
        <f t="shared" si="3"/>
        <v>104.5</v>
      </c>
      <c r="F6" s="279">
        <f t="shared" si="3"/>
        <v>50</v>
      </c>
    </row>
    <row r="7" spans="1:6" ht="12.75">
      <c r="A7" s="278">
        <f aca="true" t="shared" si="4" ref="A7:F7">A2*40/100</f>
        <v>3.48</v>
      </c>
      <c r="B7" s="278">
        <f t="shared" si="4"/>
        <v>0.6</v>
      </c>
      <c r="C7" s="278">
        <f t="shared" si="4"/>
        <v>0.56</v>
      </c>
      <c r="D7" s="278">
        <f t="shared" si="4"/>
        <v>15.48</v>
      </c>
      <c r="E7" s="280">
        <f t="shared" si="4"/>
        <v>83.6</v>
      </c>
      <c r="F7" s="280">
        <f t="shared" si="4"/>
        <v>40</v>
      </c>
    </row>
    <row r="8" spans="1:6" ht="12.75">
      <c r="A8" s="278">
        <f aca="true" t="shared" si="5" ref="A8:F8">A2*30/100</f>
        <v>2.61</v>
      </c>
      <c r="B8" s="278">
        <f t="shared" si="5"/>
        <v>0.45</v>
      </c>
      <c r="C8" s="278">
        <f t="shared" si="5"/>
        <v>0.42</v>
      </c>
      <c r="D8" s="278">
        <f t="shared" si="5"/>
        <v>11.61</v>
      </c>
      <c r="E8" s="280">
        <f t="shared" si="5"/>
        <v>62.7</v>
      </c>
      <c r="F8" s="280">
        <f t="shared" si="5"/>
        <v>30</v>
      </c>
    </row>
    <row r="9" spans="1:6" ht="12.75">
      <c r="A9" s="278">
        <f aca="true" t="shared" si="6" ref="A9:F9">A2*20/100</f>
        <v>1.74</v>
      </c>
      <c r="B9" s="278">
        <f t="shared" si="6"/>
        <v>0.3</v>
      </c>
      <c r="C9" s="278">
        <f t="shared" si="6"/>
        <v>0.28</v>
      </c>
      <c r="D9" s="278">
        <f t="shared" si="6"/>
        <v>7.74</v>
      </c>
      <c r="E9" s="280">
        <f t="shared" si="6"/>
        <v>41.8</v>
      </c>
      <c r="F9" s="280">
        <f t="shared" si="6"/>
        <v>20</v>
      </c>
    </row>
    <row r="10" spans="1:6" ht="12.75">
      <c r="A10" s="278">
        <f aca="true" t="shared" si="7" ref="A10:F10">A2*10/100</f>
        <v>0.87</v>
      </c>
      <c r="B10" s="278">
        <f t="shared" si="7"/>
        <v>0.15</v>
      </c>
      <c r="C10" s="278">
        <f t="shared" si="7"/>
        <v>0.14</v>
      </c>
      <c r="D10" s="278">
        <f t="shared" si="7"/>
        <v>3.87</v>
      </c>
      <c r="E10" s="280">
        <f t="shared" si="7"/>
        <v>20.9</v>
      </c>
      <c r="F10" s="280">
        <f t="shared" si="7"/>
        <v>10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.</cp:lastModifiedBy>
  <cp:lastPrinted>2015-08-19T05:27:21Z</cp:lastPrinted>
  <dcterms:created xsi:type="dcterms:W3CDTF">2007-09-05T08:16:41Z</dcterms:created>
  <dcterms:modified xsi:type="dcterms:W3CDTF">2015-08-19T05:28:14Z</dcterms:modified>
  <cp:category/>
  <cp:version/>
  <cp:contentType/>
  <cp:contentStatus/>
</cp:coreProperties>
</file>